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Катя\Desktop\"/>
    </mc:Choice>
  </mc:AlternateContent>
  <xr:revisionPtr revIDLastSave="0" documentId="8_{71E88414-2469-4E46-89BF-CF2BF51CDDA5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Исходные данные" sheetId="1" r:id="rId1"/>
    <sheet name="Структура и соотношение ДЗ и КЗ" sheetId="3" r:id="rId2"/>
    <sheet name="Темпы роста и оборачиваемость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5" l="1"/>
  <c r="B85" i="5"/>
  <c r="C17" i="5"/>
  <c r="C18" i="5" s="1"/>
  <c r="C86" i="5" s="1"/>
  <c r="B17" i="5"/>
  <c r="B18" i="5" s="1"/>
  <c r="C14" i="5"/>
  <c r="B14" i="5"/>
  <c r="B15" i="5" s="1"/>
  <c r="B9" i="5"/>
  <c r="D22" i="1"/>
  <c r="C22" i="1"/>
  <c r="B7" i="5"/>
  <c r="B6" i="5"/>
  <c r="B5" i="5"/>
  <c r="B8" i="5" s="1"/>
  <c r="B4" i="5"/>
  <c r="D21" i="3"/>
  <c r="C21" i="3"/>
  <c r="B21" i="3"/>
  <c r="D20" i="3"/>
  <c r="C20" i="3"/>
  <c r="B20" i="3"/>
  <c r="D19" i="3"/>
  <c r="C19" i="3"/>
  <c r="B19" i="3"/>
  <c r="C17" i="3"/>
  <c r="D17" i="3"/>
  <c r="B17" i="3"/>
  <c r="D14" i="3"/>
  <c r="C14" i="3"/>
  <c r="E14" i="3" s="1"/>
  <c r="B14" i="3"/>
  <c r="D13" i="3"/>
  <c r="C13" i="3"/>
  <c r="B13" i="3"/>
  <c r="D12" i="3"/>
  <c r="C12" i="3"/>
  <c r="B12" i="3"/>
  <c r="D11" i="3"/>
  <c r="C11" i="3"/>
  <c r="B11" i="3"/>
  <c r="E11" i="3" s="1"/>
  <c r="B9" i="3"/>
  <c r="D8" i="3"/>
  <c r="C8" i="3"/>
  <c r="E8" i="3" s="1"/>
  <c r="B8" i="3"/>
  <c r="D9" i="3"/>
  <c r="C9" i="3"/>
  <c r="C38" i="1"/>
  <c r="C37" i="1"/>
  <c r="C36" i="1"/>
  <c r="D7" i="3"/>
  <c r="C7" i="3"/>
  <c r="B7" i="3"/>
  <c r="D6" i="3"/>
  <c r="D5" i="3"/>
  <c r="C6" i="3"/>
  <c r="E6" i="3" s="1"/>
  <c r="C5" i="3"/>
  <c r="B6" i="3"/>
  <c r="B5" i="3"/>
  <c r="D28" i="1"/>
  <c r="D27" i="1"/>
  <c r="C28" i="1"/>
  <c r="C27" i="1"/>
  <c r="D25" i="1"/>
  <c r="D24" i="1"/>
  <c r="C25" i="1"/>
  <c r="C24" i="1"/>
  <c r="D21" i="1"/>
  <c r="C21" i="1"/>
  <c r="D20" i="1"/>
  <c r="C20" i="1"/>
  <c r="D19" i="1"/>
  <c r="C19" i="1"/>
  <c r="D18" i="1"/>
  <c r="C18" i="1"/>
  <c r="D14" i="1"/>
  <c r="D13" i="1"/>
  <c r="C14" i="1"/>
  <c r="C13" i="1"/>
  <c r="D11" i="1"/>
  <c r="D10" i="1"/>
  <c r="C11" i="1"/>
  <c r="C10" i="1"/>
  <c r="D17" i="1"/>
  <c r="D16" i="1"/>
  <c r="C17" i="1"/>
  <c r="C16" i="1"/>
  <c r="D8" i="1"/>
  <c r="D7" i="1"/>
  <c r="C8" i="1"/>
  <c r="C7" i="1"/>
  <c r="D5" i="1"/>
  <c r="D4" i="1"/>
  <c r="C5" i="1"/>
  <c r="C4" i="1"/>
  <c r="F14" i="3" l="1"/>
  <c r="D14" i="5"/>
  <c r="D18" i="5"/>
  <c r="C15" i="5"/>
  <c r="D17" i="5"/>
  <c r="F9" i="3"/>
  <c r="E13" i="3"/>
  <c r="F11" i="3"/>
  <c r="F13" i="3"/>
  <c r="F12" i="3"/>
  <c r="E12" i="3"/>
  <c r="F6" i="3"/>
  <c r="F8" i="3"/>
  <c r="E9" i="3"/>
  <c r="F7" i="3"/>
  <c r="E7" i="3"/>
  <c r="E5" i="3"/>
  <c r="F5" i="3"/>
  <c r="D15" i="5" l="1"/>
  <c r="C85" i="5"/>
</calcChain>
</file>

<file path=xl/sharedStrings.xml><?xml version="1.0" encoding="utf-8"?>
<sst xmlns="http://schemas.openxmlformats.org/spreadsheetml/2006/main" count="84" uniqueCount="58">
  <si>
    <t>Исходные данные</t>
  </si>
  <si>
    <t>Номер строки финансовой отчетности</t>
  </si>
  <si>
    <t>Валюта баланса</t>
  </si>
  <si>
    <t>Краткосрочная дебиторская задолженность</t>
  </si>
  <si>
    <t>Долгосрочная дебиторская задолженность</t>
  </si>
  <si>
    <t>Краткосрочная кредиторская задолженность</t>
  </si>
  <si>
    <t>Долгосрочная кредиторская задолженность</t>
  </si>
  <si>
    <t>Выручка</t>
  </si>
  <si>
    <t>Себестоимость продаж</t>
  </si>
  <si>
    <t>Коммерческие расходы</t>
  </si>
  <si>
    <t>Управленческие расходы</t>
  </si>
  <si>
    <t>Просроченная дебиторская задолженность</t>
  </si>
  <si>
    <t>Просроченная кредиторская задолженность</t>
  </si>
  <si>
    <t>Обеспечения полученные</t>
  </si>
  <si>
    <t>Обеспечения выданные</t>
  </si>
  <si>
    <t>Дебиторская задолженность, списанная на финансовый результат</t>
  </si>
  <si>
    <t xml:space="preserve"> - начало года</t>
  </si>
  <si>
    <t xml:space="preserve"> - конец года</t>
  </si>
  <si>
    <t>Показатель, ед.</t>
  </si>
  <si>
    <t>Темп роста, %</t>
  </si>
  <si>
    <t>2018-2019</t>
  </si>
  <si>
    <t>Для дебиторской задолженности доля:</t>
  </si>
  <si>
    <t>– в активе</t>
  </si>
  <si>
    <t>– долгосрочной</t>
  </si>
  <si>
    <t>– просроченной</t>
  </si>
  <si>
    <t>– обеспеченной</t>
  </si>
  <si>
    <t>– безнадежной</t>
  </si>
  <si>
    <t>Для кредиторской задолженности доля:</t>
  </si>
  <si>
    <t>– в пассиве</t>
  </si>
  <si>
    <t>1190 или иная строка, предусмотренная организацией</t>
  </si>
  <si>
    <t>1600 или 1700</t>
  </si>
  <si>
    <t>5500 и 5520 для столбца "Списание на финансовый результат"</t>
  </si>
  <si>
    <t>2019-2020</t>
  </si>
  <si>
    <t>Показатель, %</t>
  </si>
  <si>
    <t xml:space="preserve"> - за 2018 г.</t>
  </si>
  <si>
    <t xml:space="preserve"> - за 2019 г.</t>
  </si>
  <si>
    <t xml:space="preserve"> - за 2020 г.</t>
  </si>
  <si>
    <t>Соотношение КЗ и ДЗ, в том числе по:</t>
  </si>
  <si>
    <t>– краткосрочной</t>
  </si>
  <si>
    <t>Тр дебиторской задолженности</t>
  </si>
  <si>
    <t>Тр активов</t>
  </si>
  <si>
    <t>Тр выручки</t>
  </si>
  <si>
    <t>Тр кредиторской задолженности</t>
  </si>
  <si>
    <t>Тр пассивов</t>
  </si>
  <si>
    <t>Тр неденежных расходов</t>
  </si>
  <si>
    <t>Амортизация</t>
  </si>
  <si>
    <t>Показатель</t>
  </si>
  <si>
    <t>Для дебиторской задолженности:</t>
  </si>
  <si>
    <t>Для кредиторской задолженности:</t>
  </si>
  <si>
    <t>Дебиторская задолженность</t>
  </si>
  <si>
    <t>Кредиторская задолженность</t>
  </si>
  <si>
    <t>Анализ структуры дебиторской и кредиторской задолженности</t>
  </si>
  <si>
    <t xml:space="preserve">Сравнительный анализ дебиторской и кредиторской задолженности </t>
  </si>
  <si>
    <t>Темпы роста по годовым или среднегодовым значениям</t>
  </si>
  <si>
    <t>– количество оборотов за год, ед.</t>
  </si>
  <si>
    <t>– продолжительность оборота, дни</t>
  </si>
  <si>
    <t>Оборачиваемость дебиторской и кредиторской задолженности</t>
  </si>
  <si>
    <t>1450 или иная строка, предусмотренная организацией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</si>
</sst>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sto MT"/>
      <family val="2"/>
      <scheme val="minor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20"/>
      <color theme="0"/>
      <name val="Arial Black"/>
      <family val="2"/>
      <charset val="204"/>
    </font>
    <font>
      <sz val="20"/>
      <color theme="0"/>
      <name val="Arial Black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23" xfId="0" applyNumberFormat="1" applyFont="1" applyBorder="1" applyAlignment="1">
      <alignment vertical="center" wrapText="1"/>
    </xf>
    <xf numFmtId="3" fontId="1" fillId="4" borderId="14" xfId="0" applyNumberFormat="1" applyFont="1" applyFill="1" applyBorder="1" applyAlignment="1">
      <alignment vertical="center" wrapText="1"/>
    </xf>
    <xf numFmtId="3" fontId="1" fillId="4" borderId="20" xfId="0" applyNumberFormat="1" applyFont="1" applyFill="1" applyBorder="1" applyAlignment="1">
      <alignment vertical="center" wrapText="1"/>
    </xf>
    <xf numFmtId="3" fontId="1" fillId="4" borderId="17" xfId="0" applyNumberFormat="1" applyFont="1" applyFill="1" applyBorder="1" applyAlignment="1">
      <alignment vertical="center" wrapText="1"/>
    </xf>
    <xf numFmtId="0" fontId="1" fillId="4" borderId="24" xfId="0" applyFont="1" applyFill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0" fontId="1" fillId="4" borderId="28" xfId="0" applyFont="1" applyFill="1" applyBorder="1" applyAlignment="1">
      <alignment vertical="center" wrapText="1"/>
    </xf>
    <xf numFmtId="0" fontId="1" fillId="4" borderId="25" xfId="0" applyFont="1" applyFill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3" fontId="1" fillId="4" borderId="9" xfId="0" applyNumberFormat="1" applyFont="1" applyFill="1" applyBorder="1" applyAlignment="1">
      <alignment vertical="center" wrapText="1"/>
    </xf>
    <xf numFmtId="3" fontId="1" fillId="4" borderId="31" xfId="0" applyNumberFormat="1" applyFont="1" applyFill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3" fontId="1" fillId="0" borderId="9" xfId="0" applyNumberFormat="1" applyFont="1" applyBorder="1" applyAlignment="1">
      <alignment vertical="center" wrapText="1"/>
    </xf>
    <xf numFmtId="3" fontId="1" fillId="0" borderId="32" xfId="0" applyNumberFormat="1" applyFont="1" applyBorder="1" applyAlignment="1">
      <alignment vertical="center" wrapText="1"/>
    </xf>
    <xf numFmtId="3" fontId="1" fillId="4" borderId="32" xfId="0" applyNumberFormat="1" applyFont="1" applyFill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left" vertical="center" wrapText="1" indent="1"/>
    </xf>
    <xf numFmtId="0" fontId="4" fillId="4" borderId="26" xfId="0" applyFont="1" applyFill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4" fillId="4" borderId="27" xfId="0" applyFont="1" applyFill="1" applyBorder="1" applyAlignment="1">
      <alignment horizontal="left" vertical="center" wrapText="1" inden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 indent="1"/>
    </xf>
    <xf numFmtId="0" fontId="1" fillId="0" borderId="26" xfId="0" applyFont="1" applyBorder="1" applyAlignment="1">
      <alignment horizontal="left" vertical="center" wrapText="1" inden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left" vertical="center" wrapText="1" indent="1"/>
    </xf>
    <xf numFmtId="2" fontId="1" fillId="8" borderId="13" xfId="0" applyNumberFormat="1" applyFont="1" applyFill="1" applyBorder="1" applyAlignment="1">
      <alignment horizontal="center" vertical="center" wrapText="1"/>
    </xf>
    <xf numFmtId="2" fontId="1" fillId="8" borderId="3" xfId="0" applyNumberFormat="1" applyFont="1" applyFill="1" applyBorder="1" applyAlignment="1">
      <alignment horizontal="center" vertical="center" wrapText="1"/>
    </xf>
    <xf numFmtId="2" fontId="1" fillId="8" borderId="14" xfId="0" applyNumberFormat="1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left" vertical="center" wrapText="1" indent="1"/>
    </xf>
    <xf numFmtId="2" fontId="1" fillId="8" borderId="15" xfId="0" applyNumberFormat="1" applyFont="1" applyFill="1" applyBorder="1" applyAlignment="1">
      <alignment horizontal="center" vertical="center" wrapText="1"/>
    </xf>
    <xf numFmtId="2" fontId="1" fillId="8" borderId="16" xfId="0" applyNumberFormat="1" applyFont="1" applyFill="1" applyBorder="1" applyAlignment="1">
      <alignment horizontal="center" vertical="center" wrapText="1"/>
    </xf>
    <xf numFmtId="2" fontId="1" fillId="8" borderId="17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4" fontId="1" fillId="8" borderId="9" xfId="0" applyNumberFormat="1" applyFont="1" applyFill="1" applyBorder="1" applyAlignment="1">
      <alignment horizontal="center" vertical="center" wrapText="1"/>
    </xf>
    <xf numFmtId="4" fontId="1" fillId="8" borderId="14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8" borderId="32" xfId="0" applyNumberFormat="1" applyFont="1" applyFill="1" applyBorder="1" applyAlignment="1">
      <alignment horizontal="center" vertical="center" wrapText="1"/>
    </xf>
    <xf numFmtId="4" fontId="1" fillId="8" borderId="17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1" fillId="11" borderId="25" xfId="0" applyFont="1" applyFill="1" applyBorder="1" applyAlignment="1">
      <alignment horizontal="left" vertical="center" wrapText="1"/>
    </xf>
    <xf numFmtId="2" fontId="1" fillId="11" borderId="35" xfId="0" applyNumberFormat="1" applyFont="1" applyFill="1" applyBorder="1" applyAlignment="1">
      <alignment horizontal="center" vertical="center" wrapText="1"/>
    </xf>
    <xf numFmtId="0" fontId="1" fillId="11" borderId="27" xfId="0" applyFont="1" applyFill="1" applyBorder="1" applyAlignment="1">
      <alignment horizontal="left" vertical="center" wrapText="1"/>
    </xf>
    <xf numFmtId="2" fontId="1" fillId="11" borderId="37" xfId="0" applyNumberFormat="1" applyFont="1" applyFill="1" applyBorder="1" applyAlignment="1">
      <alignment horizontal="center" vertical="center" wrapText="1"/>
    </xf>
    <xf numFmtId="3" fontId="1" fillId="4" borderId="33" xfId="0" applyNumberFormat="1" applyFont="1" applyFill="1" applyBorder="1" applyAlignment="1">
      <alignment horizontal="center" vertical="center" wrapText="1"/>
    </xf>
    <xf numFmtId="3" fontId="1" fillId="4" borderId="22" xfId="0" applyNumberFormat="1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14" fontId="3" fillId="6" borderId="10" xfId="0" applyNumberFormat="1" applyFont="1" applyFill="1" applyBorder="1" applyAlignment="1">
      <alignment horizontal="center" vertical="center" wrapText="1"/>
    </xf>
    <xf numFmtId="14" fontId="3" fillId="6" borderId="15" xfId="0" applyNumberFormat="1" applyFont="1" applyFill="1" applyBorder="1" applyAlignment="1">
      <alignment horizontal="center" vertical="center" wrapText="1"/>
    </xf>
    <xf numFmtId="14" fontId="3" fillId="6" borderId="11" xfId="0" applyNumberFormat="1" applyFont="1" applyFill="1" applyBorder="1" applyAlignment="1">
      <alignment horizontal="center" vertical="center" wrapText="1"/>
    </xf>
    <xf numFmtId="14" fontId="3" fillId="6" borderId="16" xfId="0" applyNumberFormat="1" applyFont="1" applyFill="1" applyBorder="1" applyAlignment="1">
      <alignment horizontal="center" vertical="center" wrapText="1"/>
    </xf>
    <xf numFmtId="14" fontId="3" fillId="6" borderId="23" xfId="0" applyNumberFormat="1" applyFont="1" applyFill="1" applyBorder="1" applyAlignment="1">
      <alignment horizontal="center" vertical="center" wrapText="1"/>
    </xf>
    <xf numFmtId="14" fontId="3" fillId="6" borderId="17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left" vertical="center" wrapText="1"/>
    </xf>
    <xf numFmtId="0" fontId="4" fillId="11" borderId="6" xfId="0" applyFont="1" applyFill="1" applyBorder="1" applyAlignment="1">
      <alignment horizontal="left" vertical="center" wrapText="1"/>
    </xf>
    <xf numFmtId="0" fontId="4" fillId="11" borderId="7" xfId="0" applyFont="1" applyFill="1" applyBorder="1" applyAlignment="1">
      <alignment horizontal="left" vertical="center" wrapText="1"/>
    </xf>
    <xf numFmtId="0" fontId="3" fillId="10" borderId="24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 wrapText="1"/>
    </xf>
    <xf numFmtId="49" fontId="3" fillId="10" borderId="34" xfId="0" applyNumberFormat="1" applyFont="1" applyFill="1" applyBorder="1" applyAlignment="1">
      <alignment horizontal="center" vertical="center" wrapText="1"/>
    </xf>
    <xf numFmtId="49" fontId="3" fillId="10" borderId="3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u-RU" b="1"/>
              <a:t>Темпы роста (Тр) 2019-2020 гг.,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5632698768197097E-2"/>
          <c:y val="0.12601462205550862"/>
          <c:w val="0.9279432624113475"/>
          <c:h val="0.730611574034874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FEF-4780-99D8-633514F3F66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FEF-4780-99D8-633514F3F66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FEF-4780-99D8-633514F3F6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'Темпы роста и оборачиваемость'!$A$4:$A$9</c:f>
              <c:strCache>
                <c:ptCount val="6"/>
                <c:pt idx="0">
                  <c:v>Тр дебиторской задолженности</c:v>
                </c:pt>
                <c:pt idx="1">
                  <c:v>Тр активов</c:v>
                </c:pt>
                <c:pt idx="2">
                  <c:v>Тр выручки</c:v>
                </c:pt>
                <c:pt idx="3">
                  <c:v>Тр кредиторской задолженности</c:v>
                </c:pt>
                <c:pt idx="4">
                  <c:v>Тр пассивов</c:v>
                </c:pt>
                <c:pt idx="5">
                  <c:v>Тр неденежных расходов</c:v>
                </c:pt>
              </c:strCache>
            </c:strRef>
          </c:cat>
          <c:val>
            <c:numRef>
              <c:f>'Темпы роста и оборачиваемость'!$B$4:$B$9</c:f>
              <c:numCache>
                <c:formatCode>0.00</c:formatCode>
                <c:ptCount val="6"/>
                <c:pt idx="0">
                  <c:v>0.22717116478894145</c:v>
                </c:pt>
                <c:pt idx="1">
                  <c:v>0.82497705478037497</c:v>
                </c:pt>
                <c:pt idx="2">
                  <c:v>1.0714423932536985</c:v>
                </c:pt>
                <c:pt idx="3">
                  <c:v>0.77097893230458248</c:v>
                </c:pt>
                <c:pt idx="4">
                  <c:v>0.82497705478037497</c:v>
                </c:pt>
                <c:pt idx="5">
                  <c:v>0.99639734090700793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EF-4780-99D8-633514F3F6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2346968"/>
        <c:axId val="242021440"/>
      </c:barChart>
      <c:catAx>
        <c:axId val="242346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42021440"/>
        <c:crosses val="autoZero"/>
        <c:auto val="1"/>
        <c:lblAlgn val="ctr"/>
        <c:lblOffset val="100"/>
        <c:noMultiLvlLbl val="0"/>
      </c:catAx>
      <c:valAx>
        <c:axId val="242021440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42346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u-RU" b="1"/>
              <a:t>Продолжительность оборота, дни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6.9254185692541853E-2"/>
          <c:y val="0.12601462205550862"/>
          <c:w val="0.91728879780438399"/>
          <c:h val="0.67494002706864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'Темпы роста и оборачиваемость'!$A$85</c:f>
              <c:strCache>
                <c:ptCount val="1"/>
                <c:pt idx="0">
                  <c:v>Дебиторская задолженность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'Темпы роста и оборачиваемость'!$B$84:$C$84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'Темпы роста и оборачиваемость'!$B$85:$C$85</c:f>
              <c:numCache>
                <c:formatCode>0</c:formatCode>
                <c:ptCount val="2"/>
                <c:pt idx="0">
                  <c:v>110.18284295405198</c:v>
                </c:pt>
                <c:pt idx="1">
                  <c:v>59.34479952120568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95-48F7-A83F-4F73C80E81CD}"/>
            </c:ext>
          </c:extLst>
        </c:ser>
        <c:ser>
          <c:idx val="1"/>
          <c:order val="1"/>
          <c:tx>
            <c:strRef>
              <c:f>'Темпы роста и оборачиваемость'!$A$86</c:f>
              <c:strCache>
                <c:ptCount val="1"/>
                <c:pt idx="0">
                  <c:v>Кредиторская задолженность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'Темпы роста и оборачиваемость'!$B$84:$C$84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'Темпы роста и оборачиваемость'!$B$86:$C$86</c:f>
              <c:numCache>
                <c:formatCode>0</c:formatCode>
                <c:ptCount val="2"/>
                <c:pt idx="0">
                  <c:v>115.29331756729503</c:v>
                </c:pt>
                <c:pt idx="1">
                  <c:v>115.8313190656379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95-48F7-A83F-4F73C80E81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2346968"/>
        <c:axId val="242021440"/>
      </c:barChart>
      <c:catAx>
        <c:axId val="242346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42021440"/>
        <c:crosses val="autoZero"/>
        <c:auto val="1"/>
        <c:lblAlgn val="ctr"/>
        <c:lblOffset val="100"/>
        <c:noMultiLvlLbl val="0"/>
      </c:catAx>
      <c:valAx>
        <c:axId val="24202144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42346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5701662292213465"/>
          <c:y val="0.87467065572962033"/>
          <c:w val="0.33439422811874542"/>
          <c:h val="0.103619636271979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20638</xdr:colOff>
      <xdr:row>0</xdr:row>
      <xdr:rowOff>125411</xdr:rowOff>
    </xdr:from>
    <xdr:to>
      <xdr:col>18</xdr:col>
      <xdr:colOff>211138</xdr:colOff>
      <xdr:row>16</xdr:row>
      <xdr:rowOff>158749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5B8B54B-6608-4FB0-9E1C-8029C729F5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17</xdr:row>
      <xdr:rowOff>171450</xdr:rowOff>
    </xdr:from>
    <xdr:to>
      <xdr:col>18</xdr:col>
      <xdr:colOff>200025</xdr:colOff>
      <xdr:row>43</xdr:row>
      <xdr:rowOff>19050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4FD5366C-9F25-4728-8650-975BBA4F1F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Сланец">
  <a:themeElements>
    <a:clrScheme name="Сланец">
      <a:dk1>
        <a:sysClr val="windowText" lastClr="000000"/>
      </a:dk1>
      <a:lt1>
        <a:sysClr val="window" lastClr="FFFFFF"/>
      </a:lt1>
      <a:dk2>
        <a:srgbClr val="212123"/>
      </a:dk2>
      <a:lt2>
        <a:srgbClr val="DADADA"/>
      </a:lt2>
      <a:accent1>
        <a:srgbClr val="BC451B"/>
      </a:accent1>
      <a:accent2>
        <a:srgbClr val="D3BA68"/>
      </a:accent2>
      <a:accent3>
        <a:srgbClr val="BB8640"/>
      </a:accent3>
      <a:accent4>
        <a:srgbClr val="AD9277"/>
      </a:accent4>
      <a:accent5>
        <a:srgbClr val="A55A43"/>
      </a:accent5>
      <a:accent6>
        <a:srgbClr val="AD9D7B"/>
      </a:accent6>
      <a:hlink>
        <a:srgbClr val="E98052"/>
      </a:hlink>
      <a:folHlink>
        <a:srgbClr val="F4B69B"/>
      </a:folHlink>
    </a:clrScheme>
    <a:fontScheme name="Сланец">
      <a:majorFont>
        <a:latin typeface="Calisto MT" panose="02040603050505030304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sto MT" panose="02040603050505030304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ланец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63500" dist="25400" dir="5400000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 prst="hardEdge"/>
          </a:sp3d>
        </a:effectStyle>
      </a:effectStyleLst>
      <a:bgFillStyleLst>
        <a:solidFill>
          <a:schemeClr val="phClr"/>
        </a:solidFill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80000"/>
                <a:lumMod val="80000"/>
              </a:schemeClr>
              <a:schemeClr val="phClr">
                <a:tint val="98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ate" id="{C3F70B94-7CE9-428E-ADC1-3269CC2C3385}" vid="{3F2DE9A5-64E6-437C-A389-CC4477E817E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D38"/>
  <sheetViews>
    <sheetView tabSelected="1" workbookViewId="0">
      <selection sqref="A1:D1"/>
    </sheetView>
  </sheetViews>
  <sheetFormatPr defaultColWidth="9" defaultRowHeight="13.8" x14ac:dyDescent="0.25"/>
  <cols>
    <col min="1" max="1" width="46.77734375" style="1" customWidth="1"/>
    <col min="2" max="2" width="20.21875" style="3" customWidth="1"/>
    <col min="3" max="4" width="18.33203125" style="1" customWidth="1"/>
    <col min="5" max="16384" width="9" style="1"/>
  </cols>
  <sheetData>
    <row r="1" spans="1:4" ht="51" customHeight="1" thickBot="1" x14ac:dyDescent="0.3">
      <c r="A1" s="99" t="s">
        <v>0</v>
      </c>
      <c r="B1" s="99"/>
      <c r="C1" s="99"/>
      <c r="D1" s="99"/>
    </row>
    <row r="2" spans="1:4" ht="42" thickBot="1" x14ac:dyDescent="0.3">
      <c r="A2" s="74" t="s">
        <v>46</v>
      </c>
      <c r="B2" s="75" t="s">
        <v>1</v>
      </c>
      <c r="C2" s="76">
        <v>2019</v>
      </c>
      <c r="D2" s="77">
        <v>2020</v>
      </c>
    </row>
    <row r="3" spans="1:4" x14ac:dyDescent="0.25">
      <c r="A3" s="15" t="s">
        <v>3</v>
      </c>
      <c r="B3" s="92">
        <v>1230</v>
      </c>
      <c r="C3" s="100"/>
      <c r="D3" s="101"/>
    </row>
    <row r="4" spans="1:4" ht="14.4" x14ac:dyDescent="0.25">
      <c r="A4" s="33" t="s">
        <v>16</v>
      </c>
      <c r="B4" s="93"/>
      <c r="C4" s="23">
        <f>14260528/1000</f>
        <v>14260.528</v>
      </c>
      <c r="D4" s="12">
        <f>C5</f>
        <v>12653.652</v>
      </c>
    </row>
    <row r="5" spans="1:4" ht="15" thickBot="1" x14ac:dyDescent="0.3">
      <c r="A5" s="34" t="s">
        <v>17</v>
      </c>
      <c r="B5" s="94"/>
      <c r="C5" s="24">
        <f>12653652/1000</f>
        <v>12653.652</v>
      </c>
      <c r="D5" s="13">
        <f>2800574/1000</f>
        <v>2800.5740000000001</v>
      </c>
    </row>
    <row r="6" spans="1:4" x14ac:dyDescent="0.25">
      <c r="A6" s="16" t="s">
        <v>4</v>
      </c>
      <c r="B6" s="95" t="s">
        <v>29</v>
      </c>
      <c r="C6" s="25"/>
      <c r="D6" s="11"/>
    </row>
    <row r="7" spans="1:4" ht="14.4" x14ac:dyDescent="0.25">
      <c r="A7" s="35" t="s">
        <v>16</v>
      </c>
      <c r="B7" s="96"/>
      <c r="C7" s="26">
        <f>0</f>
        <v>0</v>
      </c>
      <c r="D7" s="9">
        <f>C8</f>
        <v>5.3710000000000004</v>
      </c>
    </row>
    <row r="8" spans="1:4" ht="15" thickBot="1" x14ac:dyDescent="0.3">
      <c r="A8" s="36" t="s">
        <v>17</v>
      </c>
      <c r="B8" s="97"/>
      <c r="C8" s="27">
        <f>5371/1000</f>
        <v>5.3710000000000004</v>
      </c>
      <c r="D8" s="10">
        <f>75191/1000</f>
        <v>75.191000000000003</v>
      </c>
    </row>
    <row r="9" spans="1:4" x14ac:dyDescent="0.25">
      <c r="A9" s="19" t="s">
        <v>5</v>
      </c>
      <c r="B9" s="98">
        <v>1520</v>
      </c>
      <c r="C9" s="90"/>
      <c r="D9" s="91"/>
    </row>
    <row r="10" spans="1:4" ht="14.4" x14ac:dyDescent="0.25">
      <c r="A10" s="33" t="s">
        <v>16</v>
      </c>
      <c r="B10" s="93"/>
      <c r="C10" s="23">
        <f>11634493/1000</f>
        <v>11634.493</v>
      </c>
      <c r="D10" s="12">
        <f>C11</f>
        <v>15171.947</v>
      </c>
    </row>
    <row r="11" spans="1:4" ht="15" thickBot="1" x14ac:dyDescent="0.3">
      <c r="A11" s="34" t="s">
        <v>17</v>
      </c>
      <c r="B11" s="94"/>
      <c r="C11" s="24">
        <f>15171947/1000</f>
        <v>15171.947</v>
      </c>
      <c r="D11" s="13">
        <f>11719320/1000</f>
        <v>11719.32</v>
      </c>
    </row>
    <row r="12" spans="1:4" x14ac:dyDescent="0.25">
      <c r="A12" s="16" t="s">
        <v>6</v>
      </c>
      <c r="B12" s="95" t="s">
        <v>57</v>
      </c>
      <c r="C12" s="102"/>
      <c r="D12" s="103"/>
    </row>
    <row r="13" spans="1:4" ht="14.4" x14ac:dyDescent="0.25">
      <c r="A13" s="35" t="s">
        <v>16</v>
      </c>
      <c r="B13" s="96"/>
      <c r="C13" s="26">
        <f>56674/1000</f>
        <v>56.673999999999999</v>
      </c>
      <c r="D13" s="9">
        <f>C14</f>
        <v>28.623999999999999</v>
      </c>
    </row>
    <row r="14" spans="1:4" ht="15" thickBot="1" x14ac:dyDescent="0.3">
      <c r="A14" s="36" t="s">
        <v>17</v>
      </c>
      <c r="B14" s="97"/>
      <c r="C14" s="27">
        <f>28624/1000</f>
        <v>28.623999999999999</v>
      </c>
      <c r="D14" s="10">
        <f>0</f>
        <v>0</v>
      </c>
    </row>
    <row r="15" spans="1:4" x14ac:dyDescent="0.25">
      <c r="A15" s="19" t="s">
        <v>2</v>
      </c>
      <c r="B15" s="98" t="s">
        <v>30</v>
      </c>
      <c r="C15" s="90"/>
      <c r="D15" s="91"/>
    </row>
    <row r="16" spans="1:4" ht="14.4" x14ac:dyDescent="0.25">
      <c r="A16" s="33" t="s">
        <v>16</v>
      </c>
      <c r="B16" s="93"/>
      <c r="C16" s="23">
        <f>32975744/1000</f>
        <v>32975.743999999999</v>
      </c>
      <c r="D16" s="12">
        <f>C17</f>
        <v>32538.367999999999</v>
      </c>
    </row>
    <row r="17" spans="1:4" ht="15" thickBot="1" x14ac:dyDescent="0.3">
      <c r="A17" s="34" t="s">
        <v>17</v>
      </c>
      <c r="B17" s="94"/>
      <c r="C17" s="24">
        <f>32538368/1000</f>
        <v>32538.367999999999</v>
      </c>
      <c r="D17" s="13">
        <f>26843407/1000</f>
        <v>26843.406999999999</v>
      </c>
    </row>
    <row r="18" spans="1:4" x14ac:dyDescent="0.25">
      <c r="A18" s="16" t="s">
        <v>7</v>
      </c>
      <c r="B18" s="29">
        <v>2110</v>
      </c>
      <c r="C18" s="25">
        <f>44587868/1000</f>
        <v>44587.868000000002</v>
      </c>
      <c r="D18" s="11">
        <f>47773332/1000</f>
        <v>47773.332000000002</v>
      </c>
    </row>
    <row r="19" spans="1:4" x14ac:dyDescent="0.25">
      <c r="A19" s="20" t="s">
        <v>8</v>
      </c>
      <c r="B19" s="30">
        <v>2120</v>
      </c>
      <c r="C19" s="23">
        <f>38738235/1000</f>
        <v>38738.235000000001</v>
      </c>
      <c r="D19" s="12">
        <f>38374199/1000</f>
        <v>38374.199000000001</v>
      </c>
    </row>
    <row r="20" spans="1:4" x14ac:dyDescent="0.25">
      <c r="A20" s="21" t="s">
        <v>9</v>
      </c>
      <c r="B20" s="31">
        <v>2210</v>
      </c>
      <c r="C20" s="26">
        <f>1981400/1000</f>
        <v>1981.4</v>
      </c>
      <c r="D20" s="9">
        <f>2087621/1000</f>
        <v>2087.6210000000001</v>
      </c>
    </row>
    <row r="21" spans="1:4" x14ac:dyDescent="0.25">
      <c r="A21" s="20" t="s">
        <v>10</v>
      </c>
      <c r="B21" s="30">
        <v>2220</v>
      </c>
      <c r="C21" s="23">
        <f>1878358/1000</f>
        <v>1878.3579999999999</v>
      </c>
      <c r="D21" s="12">
        <f>1985717/1000</f>
        <v>1985.7170000000001</v>
      </c>
    </row>
    <row r="22" spans="1:4" ht="14.4" thickBot="1" x14ac:dyDescent="0.3">
      <c r="A22" s="22" t="s">
        <v>45</v>
      </c>
      <c r="B22" s="32">
        <v>5640</v>
      </c>
      <c r="C22" s="27">
        <f>30546/1000</f>
        <v>30.545999999999999</v>
      </c>
      <c r="D22" s="10">
        <f>33446/1000</f>
        <v>33.445999999999998</v>
      </c>
    </row>
    <row r="23" spans="1:4" x14ac:dyDescent="0.25">
      <c r="A23" s="19" t="s">
        <v>11</v>
      </c>
      <c r="B23" s="98">
        <v>5540</v>
      </c>
      <c r="C23" s="90"/>
      <c r="D23" s="91"/>
    </row>
    <row r="24" spans="1:4" ht="14.4" x14ac:dyDescent="0.25">
      <c r="A24" s="33" t="s">
        <v>16</v>
      </c>
      <c r="B24" s="93"/>
      <c r="C24" s="23">
        <f>1029/1000</f>
        <v>1.0289999999999999</v>
      </c>
      <c r="D24" s="12">
        <f>C25</f>
        <v>1.35</v>
      </c>
    </row>
    <row r="25" spans="1:4" ht="15" thickBot="1" x14ac:dyDescent="0.3">
      <c r="A25" s="34" t="s">
        <v>17</v>
      </c>
      <c r="B25" s="94"/>
      <c r="C25" s="24">
        <f>1350/1000</f>
        <v>1.35</v>
      </c>
      <c r="D25" s="13">
        <f>6815/1000</f>
        <v>6.8150000000000004</v>
      </c>
    </row>
    <row r="26" spans="1:4" x14ac:dyDescent="0.25">
      <c r="A26" s="16" t="s">
        <v>12</v>
      </c>
      <c r="B26" s="95">
        <v>5590</v>
      </c>
      <c r="C26" s="25"/>
      <c r="D26" s="11"/>
    </row>
    <row r="27" spans="1:4" ht="14.4" x14ac:dyDescent="0.25">
      <c r="A27" s="35" t="s">
        <v>16</v>
      </c>
      <c r="B27" s="96"/>
      <c r="C27" s="26">
        <f>191357/1000</f>
        <v>191.357</v>
      </c>
      <c r="D27" s="9">
        <f>C28</f>
        <v>315.25299999999999</v>
      </c>
    </row>
    <row r="28" spans="1:4" ht="15" thickBot="1" x14ac:dyDescent="0.3">
      <c r="A28" s="36" t="s">
        <v>17</v>
      </c>
      <c r="B28" s="97"/>
      <c r="C28" s="27">
        <f>315253/1000</f>
        <v>315.25299999999999</v>
      </c>
      <c r="D28" s="10">
        <f>565112/1000</f>
        <v>565.11199999999997</v>
      </c>
    </row>
    <row r="29" spans="1:4" x14ac:dyDescent="0.25">
      <c r="A29" s="19" t="s">
        <v>13</v>
      </c>
      <c r="B29" s="98">
        <v>5800</v>
      </c>
      <c r="C29" s="90"/>
      <c r="D29" s="91"/>
    </row>
    <row r="30" spans="1:4" ht="14.4" x14ac:dyDescent="0.25">
      <c r="A30" s="33" t="s">
        <v>16</v>
      </c>
      <c r="B30" s="93"/>
      <c r="C30" s="23"/>
      <c r="D30" s="12"/>
    </row>
    <row r="31" spans="1:4" ht="15" thickBot="1" x14ac:dyDescent="0.3">
      <c r="A31" s="34" t="s">
        <v>17</v>
      </c>
      <c r="B31" s="94"/>
      <c r="C31" s="24"/>
      <c r="D31" s="13"/>
    </row>
    <row r="32" spans="1:4" x14ac:dyDescent="0.25">
      <c r="A32" s="16" t="s">
        <v>14</v>
      </c>
      <c r="B32" s="95">
        <v>5810</v>
      </c>
      <c r="C32" s="102"/>
      <c r="D32" s="103"/>
    </row>
    <row r="33" spans="1:4" ht="14.4" x14ac:dyDescent="0.25">
      <c r="A33" s="35" t="s">
        <v>16</v>
      </c>
      <c r="B33" s="96"/>
      <c r="C33" s="26"/>
      <c r="D33" s="9"/>
    </row>
    <row r="34" spans="1:4" ht="15" thickBot="1" x14ac:dyDescent="0.3">
      <c r="A34" s="36" t="s">
        <v>17</v>
      </c>
      <c r="B34" s="97"/>
      <c r="C34" s="27"/>
      <c r="D34" s="10"/>
    </row>
    <row r="35" spans="1:4" ht="27.6" x14ac:dyDescent="0.25">
      <c r="A35" s="19" t="s">
        <v>15</v>
      </c>
      <c r="B35" s="98" t="s">
        <v>31</v>
      </c>
      <c r="C35" s="90"/>
      <c r="D35" s="91"/>
    </row>
    <row r="36" spans="1:4" ht="14.4" x14ac:dyDescent="0.25">
      <c r="A36" s="33" t="s">
        <v>34</v>
      </c>
      <c r="B36" s="93"/>
      <c r="C36" s="23">
        <f>23625/1000</f>
        <v>23.625</v>
      </c>
      <c r="D36" s="12"/>
    </row>
    <row r="37" spans="1:4" ht="14.4" x14ac:dyDescent="0.25">
      <c r="A37" s="33" t="s">
        <v>35</v>
      </c>
      <c r="B37" s="93"/>
      <c r="C37" s="23">
        <f>0</f>
        <v>0</v>
      </c>
      <c r="D37" s="12"/>
    </row>
    <row r="38" spans="1:4" ht="15" thickBot="1" x14ac:dyDescent="0.3">
      <c r="A38" s="37" t="s">
        <v>36</v>
      </c>
      <c r="B38" s="104"/>
      <c r="C38" s="28">
        <f>1462/1000</f>
        <v>1.462</v>
      </c>
      <c r="D38" s="14"/>
    </row>
  </sheetData>
  <mergeCells count="19">
    <mergeCell ref="C29:D29"/>
    <mergeCell ref="C32:D32"/>
    <mergeCell ref="C35:D35"/>
    <mergeCell ref="B26:B28"/>
    <mergeCell ref="B29:B31"/>
    <mergeCell ref="B32:B34"/>
    <mergeCell ref="B35:B38"/>
    <mergeCell ref="A1:D1"/>
    <mergeCell ref="C3:D3"/>
    <mergeCell ref="C9:D9"/>
    <mergeCell ref="C12:D12"/>
    <mergeCell ref="C15:D15"/>
    <mergeCell ref="C23:D23"/>
    <mergeCell ref="B3:B5"/>
    <mergeCell ref="B6:B8"/>
    <mergeCell ref="B15:B17"/>
    <mergeCell ref="B9:B11"/>
    <mergeCell ref="B12:B14"/>
    <mergeCell ref="B23:B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E5C58-2561-4D1F-96AC-8E5D0B060715}">
  <sheetPr>
    <tabColor theme="6"/>
  </sheetPr>
  <dimension ref="A1:F22"/>
  <sheetViews>
    <sheetView workbookViewId="0">
      <selection sqref="A1:F1"/>
    </sheetView>
  </sheetViews>
  <sheetFormatPr defaultColWidth="9" defaultRowHeight="13.8" x14ac:dyDescent="0.25"/>
  <cols>
    <col min="1" max="1" width="46.77734375" style="1" customWidth="1"/>
    <col min="2" max="6" width="15.77734375" style="1" customWidth="1"/>
    <col min="7" max="16384" width="9" style="1"/>
  </cols>
  <sheetData>
    <row r="1" spans="1:6" ht="51" customHeight="1" thickBot="1" x14ac:dyDescent="0.3">
      <c r="A1" s="105" t="s">
        <v>51</v>
      </c>
      <c r="B1" s="105"/>
      <c r="C1" s="105"/>
      <c r="D1" s="105"/>
      <c r="E1" s="105"/>
      <c r="F1" s="105"/>
    </row>
    <row r="2" spans="1:6" x14ac:dyDescent="0.25">
      <c r="A2" s="109" t="s">
        <v>33</v>
      </c>
      <c r="B2" s="111">
        <v>43465</v>
      </c>
      <c r="C2" s="113">
        <v>43830</v>
      </c>
      <c r="D2" s="115">
        <v>44196</v>
      </c>
      <c r="E2" s="117" t="s">
        <v>19</v>
      </c>
      <c r="F2" s="118"/>
    </row>
    <row r="3" spans="1:6" ht="14.4" thickBot="1" x14ac:dyDescent="0.3">
      <c r="A3" s="110"/>
      <c r="B3" s="112"/>
      <c r="C3" s="114"/>
      <c r="D3" s="116"/>
      <c r="E3" s="54" t="s">
        <v>20</v>
      </c>
      <c r="F3" s="55" t="s">
        <v>32</v>
      </c>
    </row>
    <row r="4" spans="1:6" ht="15" thickBot="1" x14ac:dyDescent="0.3">
      <c r="A4" s="106" t="s">
        <v>21</v>
      </c>
      <c r="B4" s="107"/>
      <c r="C4" s="107"/>
      <c r="D4" s="107"/>
      <c r="E4" s="107"/>
      <c r="F4" s="108"/>
    </row>
    <row r="5" spans="1:6" x14ac:dyDescent="0.25">
      <c r="A5" s="45" t="s">
        <v>22</v>
      </c>
      <c r="B5" s="47">
        <f>('Исходные данные'!C4+'Исходные данные'!C7)/'Исходные данные'!C16*100</f>
        <v>43.245507970949802</v>
      </c>
      <c r="C5" s="48">
        <f>('Исходные данные'!C5+'Исходные данные'!C8)/'Исходные данные'!C17*100</f>
        <v>38.904910658088319</v>
      </c>
      <c r="D5" s="49">
        <f>('Исходные данные'!D5+'Исходные данные'!D8)/'Исходные данные'!D17*100</f>
        <v>10.713114769671375</v>
      </c>
      <c r="E5" s="64">
        <f>C5/B5*100</f>
        <v>89.962894375579353</v>
      </c>
      <c r="F5" s="65">
        <f>D5/C5*100</f>
        <v>27.536664622680789</v>
      </c>
    </row>
    <row r="6" spans="1:6" x14ac:dyDescent="0.25">
      <c r="A6" s="56" t="s">
        <v>23</v>
      </c>
      <c r="B6" s="57">
        <f>'Исходные данные'!C7/('Исходные данные'!C4+'Исходные данные'!C7)*100</f>
        <v>0</v>
      </c>
      <c r="C6" s="58">
        <f>'Исходные данные'!C8/('Исходные данные'!C5+'Исходные данные'!C8)*100</f>
        <v>4.2428234785575475E-2</v>
      </c>
      <c r="D6" s="59">
        <f>'Исходные данные'!D8/('Исходные данные'!D5+'Исходные данные'!D8)*100</f>
        <v>2.6146434079279777</v>
      </c>
      <c r="E6" s="66" t="e">
        <f>C6/B6*100</f>
        <v>#DIV/0!</v>
      </c>
      <c r="F6" s="67">
        <f t="shared" ref="F6:F14" si="0">D6/C6*100</f>
        <v>6162.5081060805533</v>
      </c>
    </row>
    <row r="7" spans="1:6" x14ac:dyDescent="0.25">
      <c r="A7" s="17" t="s">
        <v>24</v>
      </c>
      <c r="B7" s="50">
        <f>'Исходные данные'!C24/('Исходные данные'!C4+'Исходные данные'!C7)*100</f>
        <v>7.2157216058199242E-3</v>
      </c>
      <c r="C7" s="8">
        <f>'Исходные данные'!C25/('Исходные данные'!C5+'Исходные данные'!C8)*100</f>
        <v>1.0664330098776187E-2</v>
      </c>
      <c r="D7" s="38">
        <f>'Исходные данные'!D25/('Исходные данные'!D5+'Исходные данные'!D8)*100</f>
        <v>0.23698042086192722</v>
      </c>
      <c r="E7" s="68">
        <f t="shared" ref="E7:E14" si="1">C7/B7*100</f>
        <v>147.79298151102097</v>
      </c>
      <c r="F7" s="69">
        <f t="shared" si="0"/>
        <v>2222.1782209191229</v>
      </c>
    </row>
    <row r="8" spans="1:6" x14ac:dyDescent="0.25">
      <c r="A8" s="56" t="s">
        <v>25</v>
      </c>
      <c r="B8" s="57">
        <f>'Исходные данные'!C30/('Исходные данные'!C4+'Исходные данные'!C7)*100</f>
        <v>0</v>
      </c>
      <c r="C8" s="58">
        <f>'Исходные данные'!C31/('Исходные данные'!C5+'Исходные данные'!C8)*100</f>
        <v>0</v>
      </c>
      <c r="D8" s="59">
        <f>'Исходные данные'!D31/('Исходные данные'!D5+'Исходные данные'!D8)*100</f>
        <v>0</v>
      </c>
      <c r="E8" s="66" t="e">
        <f t="shared" si="1"/>
        <v>#DIV/0!</v>
      </c>
      <c r="F8" s="67" t="e">
        <f t="shared" si="0"/>
        <v>#DIV/0!</v>
      </c>
    </row>
    <row r="9" spans="1:6" ht="14.4" thickBot="1" x14ac:dyDescent="0.3">
      <c r="A9" s="46" t="s">
        <v>26</v>
      </c>
      <c r="B9" s="51">
        <f>'Исходные данные'!C36/'Исходные данные'!C4*100</f>
        <v>0.16566707768464112</v>
      </c>
      <c r="C9" s="39">
        <f>'Исходные данные'!C37/'Исходные данные'!C5*100</f>
        <v>0</v>
      </c>
      <c r="D9" s="40">
        <f>'Исходные данные'!C38/'Исходные данные'!D5*100</f>
        <v>5.2203583979569902E-2</v>
      </c>
      <c r="E9" s="70">
        <f t="shared" si="1"/>
        <v>0</v>
      </c>
      <c r="F9" s="71" t="e">
        <f t="shared" si="0"/>
        <v>#DIV/0!</v>
      </c>
    </row>
    <row r="10" spans="1:6" ht="15" thickBot="1" x14ac:dyDescent="0.3">
      <c r="A10" s="106" t="s">
        <v>27</v>
      </c>
      <c r="B10" s="107"/>
      <c r="C10" s="107"/>
      <c r="D10" s="107"/>
      <c r="E10" s="107"/>
      <c r="F10" s="108"/>
    </row>
    <row r="11" spans="1:6" x14ac:dyDescent="0.25">
      <c r="A11" s="45" t="s">
        <v>28</v>
      </c>
      <c r="B11" s="47">
        <f>('Исходные данные'!C10+'Исходные данные'!C13)/'Исходные данные'!C16*100</f>
        <v>35.453838433486148</v>
      </c>
      <c r="C11" s="48">
        <f>('Исходные данные'!C11+'Исходные данные'!C14)/'Исходные данные'!C17*100</f>
        <v>46.715837131106269</v>
      </c>
      <c r="D11" s="49">
        <f>('Исходные данные'!D11+'Исходные данные'!D14)/'Исходные данные'!D17*100</f>
        <v>43.65809451832996</v>
      </c>
      <c r="E11" s="64">
        <f t="shared" si="1"/>
        <v>131.76524516167242</v>
      </c>
      <c r="F11" s="65">
        <f t="shared" si="0"/>
        <v>93.454590989786041</v>
      </c>
    </row>
    <row r="12" spans="1:6" x14ac:dyDescent="0.25">
      <c r="A12" s="56" t="s">
        <v>23</v>
      </c>
      <c r="B12" s="57">
        <f>'Исходные данные'!C13/('Исходные данные'!C10+'Исходные данные'!C13)*100</f>
        <v>0.48475913482375194</v>
      </c>
      <c r="C12" s="58">
        <f>'Исходные данные'!C14/('Исходные данные'!C11+'Исходные данные'!C14)*100</f>
        <v>0.18830871550812137</v>
      </c>
      <c r="D12" s="59">
        <f>'Исходные данные'!D14/('Исходные данные'!D11+'Исходные данные'!D14)*100</f>
        <v>0</v>
      </c>
      <c r="E12" s="66">
        <f t="shared" si="1"/>
        <v>38.845831255265857</v>
      </c>
      <c r="F12" s="67">
        <f t="shared" si="0"/>
        <v>0</v>
      </c>
    </row>
    <row r="13" spans="1:6" x14ac:dyDescent="0.25">
      <c r="A13" s="17" t="s">
        <v>24</v>
      </c>
      <c r="B13" s="50">
        <f>'Исходные данные'!C27/('Исходные данные'!C10+'Исходные данные'!C13)*100</f>
        <v>1.6367656026126391</v>
      </c>
      <c r="C13" s="8">
        <f>'Исходные данные'!C28/('Исходные данные'!C11+'Исходные данные'!C14)*100</f>
        <v>2.0739549849804981</v>
      </c>
      <c r="D13" s="38">
        <f>'Исходные данные'!D28/('Исходные данные'!D11+'Исходные данные'!D14)*100</f>
        <v>4.82205452193472</v>
      </c>
      <c r="E13" s="68">
        <f t="shared" si="1"/>
        <v>126.71056757730052</v>
      </c>
      <c r="F13" s="69">
        <f t="shared" si="0"/>
        <v>232.50526442742742</v>
      </c>
    </row>
    <row r="14" spans="1:6" ht="14.4" thickBot="1" x14ac:dyDescent="0.3">
      <c r="A14" s="60" t="s">
        <v>25</v>
      </c>
      <c r="B14" s="61">
        <f>'Исходные данные'!C33/('Исходные данные'!C10+'Исходные данные'!C13)*100</f>
        <v>0</v>
      </c>
      <c r="C14" s="62">
        <f>'Исходные данные'!C34/('Исходные данные'!C11+'Исходные данные'!C14)*100</f>
        <v>0</v>
      </c>
      <c r="D14" s="63">
        <f>'Исходные данные'!D34/('Исходные данные'!D11+'Исходные данные'!D14)*100</f>
        <v>0</v>
      </c>
      <c r="E14" s="72" t="e">
        <f t="shared" si="1"/>
        <v>#DIV/0!</v>
      </c>
      <c r="F14" s="73" t="e">
        <f t="shared" si="0"/>
        <v>#DIV/0!</v>
      </c>
    </row>
    <row r="15" spans="1:6" x14ac:dyDescent="0.25">
      <c r="A15" s="2"/>
    </row>
    <row r="16" spans="1:6" ht="70.5" customHeight="1" thickBot="1" x14ac:dyDescent="0.3">
      <c r="A16" s="105" t="s">
        <v>52</v>
      </c>
      <c r="B16" s="105"/>
      <c r="C16" s="105"/>
      <c r="D16" s="105"/>
    </row>
    <row r="17" spans="1:6" x14ac:dyDescent="0.25">
      <c r="A17" s="109" t="s">
        <v>18</v>
      </c>
      <c r="B17" s="111">
        <f>B2</f>
        <v>43465</v>
      </c>
      <c r="C17" s="113">
        <f t="shared" ref="C17:D17" si="2">C2</f>
        <v>43830</v>
      </c>
      <c r="D17" s="115">
        <f t="shared" si="2"/>
        <v>44196</v>
      </c>
      <c r="E17" s="4"/>
      <c r="F17" s="4"/>
    </row>
    <row r="18" spans="1:6" ht="14.4" thickBot="1" x14ac:dyDescent="0.3">
      <c r="A18" s="110"/>
      <c r="B18" s="112"/>
      <c r="C18" s="114"/>
      <c r="D18" s="116"/>
      <c r="E18" s="7"/>
      <c r="F18" s="7"/>
    </row>
    <row r="19" spans="1:6" x14ac:dyDescent="0.25">
      <c r="A19" s="52" t="s">
        <v>37</v>
      </c>
      <c r="B19" s="53">
        <f>('Исходные данные'!C10+'Исходные данные'!C13)/('Исходные данные'!C4+'Исходные данные'!C7)</f>
        <v>0.81982707793147636</v>
      </c>
      <c r="C19" s="41">
        <f>('Исходные данные'!C11+'Исходные данные'!C14)/('Исходные данные'!C5+'Исходные данные'!C8)</f>
        <v>1.2007696802509957</v>
      </c>
      <c r="D19" s="42">
        <f>('Исходные данные'!D11+'Исходные данные'!D14)/('Исходные данные'!D5+'Исходные данные'!D8)</f>
        <v>4.0752008595973592</v>
      </c>
      <c r="E19" s="7"/>
      <c r="F19" s="7"/>
    </row>
    <row r="20" spans="1:6" x14ac:dyDescent="0.25">
      <c r="A20" s="56" t="s">
        <v>38</v>
      </c>
      <c r="B20" s="57">
        <f>'Исходные данные'!C10/'Исходные данные'!C4</f>
        <v>0.81585289128144489</v>
      </c>
      <c r="C20" s="58">
        <f>'Исходные данные'!C11/'Исходные данные'!C5</f>
        <v>1.1990172481430657</v>
      </c>
      <c r="D20" s="59">
        <f>'Исходные данные'!D11/'Исходные данные'!D5</f>
        <v>4.1846135827869571</v>
      </c>
      <c r="E20" s="7"/>
      <c r="F20" s="7"/>
    </row>
    <row r="21" spans="1:6" ht="14.4" thickBot="1" x14ac:dyDescent="0.3">
      <c r="A21" s="18" t="s">
        <v>23</v>
      </c>
      <c r="B21" s="51" t="e">
        <f>'Исходные данные'!C13/'Исходные данные'!C7</f>
        <v>#DIV/0!</v>
      </c>
      <c r="C21" s="39">
        <f>'Исходные данные'!C14/'Исходные данные'!C8</f>
        <v>5.3293613852169051</v>
      </c>
      <c r="D21" s="40">
        <f>'Исходные данные'!D14/'Исходные данные'!D8</f>
        <v>0</v>
      </c>
      <c r="E21" s="7"/>
      <c r="F21" s="7"/>
    </row>
    <row r="22" spans="1:6" x14ac:dyDescent="0.25">
      <c r="E22" s="4"/>
      <c r="F22" s="4"/>
    </row>
  </sheetData>
  <mergeCells count="13">
    <mergeCell ref="A1:F1"/>
    <mergeCell ref="A16:D16"/>
    <mergeCell ref="A4:F4"/>
    <mergeCell ref="A17:A18"/>
    <mergeCell ref="B17:B18"/>
    <mergeCell ref="C17:C18"/>
    <mergeCell ref="D17:D18"/>
    <mergeCell ref="A10:F10"/>
    <mergeCell ref="A2:A3"/>
    <mergeCell ref="B2:B3"/>
    <mergeCell ref="C2:C3"/>
    <mergeCell ref="D2:D3"/>
    <mergeCell ref="E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B8903-B55B-45C5-BE6C-52B0913DF0B8}">
  <sheetPr>
    <tabColor theme="8"/>
  </sheetPr>
  <dimension ref="A1:D86"/>
  <sheetViews>
    <sheetView zoomScaleNormal="100" workbookViewId="0">
      <selection sqref="A1:B1"/>
    </sheetView>
  </sheetViews>
  <sheetFormatPr defaultColWidth="9" defaultRowHeight="13.8" x14ac:dyDescent="0.25"/>
  <cols>
    <col min="1" max="1" width="46.77734375" style="1" customWidth="1"/>
    <col min="2" max="4" width="13.44140625" style="1" customWidth="1"/>
    <col min="5" max="7" width="8" style="1"/>
    <col min="8" max="16384" width="9" style="1"/>
  </cols>
  <sheetData>
    <row r="1" spans="1:4" ht="70.5" customHeight="1" thickBot="1" x14ac:dyDescent="0.3">
      <c r="A1" s="119" t="s">
        <v>53</v>
      </c>
      <c r="B1" s="119"/>
    </row>
    <row r="2" spans="1:4" x14ac:dyDescent="0.25">
      <c r="A2" s="123" t="s">
        <v>33</v>
      </c>
      <c r="B2" s="125" t="s">
        <v>32</v>
      </c>
    </row>
    <row r="3" spans="1:4" ht="14.4" thickBot="1" x14ac:dyDescent="0.3">
      <c r="A3" s="124"/>
      <c r="B3" s="126"/>
    </row>
    <row r="4" spans="1:4" x14ac:dyDescent="0.25">
      <c r="A4" s="52" t="s">
        <v>39</v>
      </c>
      <c r="B4" s="79">
        <f>('Исходные данные'!D5+'Исходные данные'!D8)/('Исходные данные'!D4+'Исходные данные'!D7)</f>
        <v>0.22717116478894145</v>
      </c>
    </row>
    <row r="5" spans="1:4" x14ac:dyDescent="0.25">
      <c r="A5" s="86" t="s">
        <v>40</v>
      </c>
      <c r="B5" s="87">
        <f>'Исходные данные'!D17/'Исходные данные'!D16</f>
        <v>0.82497705478037497</v>
      </c>
    </row>
    <row r="6" spans="1:4" x14ac:dyDescent="0.25">
      <c r="A6" s="78" t="s">
        <v>41</v>
      </c>
      <c r="B6" s="80">
        <f>'Исходные данные'!D18/'Исходные данные'!C18</f>
        <v>1.0714423932536985</v>
      </c>
    </row>
    <row r="7" spans="1:4" x14ac:dyDescent="0.25">
      <c r="A7" s="86" t="s">
        <v>42</v>
      </c>
      <c r="B7" s="87">
        <f>('Исходные данные'!D11+'Исходные данные'!D14)/('Исходные данные'!D10+'Исходные данные'!D13)</f>
        <v>0.77097893230458248</v>
      </c>
    </row>
    <row r="8" spans="1:4" x14ac:dyDescent="0.25">
      <c r="A8" s="78" t="s">
        <v>43</v>
      </c>
      <c r="B8" s="80">
        <f>B5</f>
        <v>0.82497705478037497</v>
      </c>
    </row>
    <row r="9" spans="1:4" ht="14.4" thickBot="1" x14ac:dyDescent="0.3">
      <c r="A9" s="88" t="s">
        <v>44</v>
      </c>
      <c r="B9" s="89">
        <f>('Исходные данные'!D19+'Исходные данные'!D20+'Исходные данные'!D21-'Исходные данные'!D22)/('Исходные данные'!C19+'Исходные данные'!C20+'Исходные данные'!C21-'Исходные данные'!C22)</f>
        <v>0.99639734090700793</v>
      </c>
    </row>
    <row r="10" spans="1:4" x14ac:dyDescent="0.25">
      <c r="A10" s="2"/>
    </row>
    <row r="11" spans="1:4" ht="70.5" customHeight="1" thickBot="1" x14ac:dyDescent="0.3">
      <c r="A11" s="119" t="s">
        <v>56</v>
      </c>
      <c r="B11" s="119"/>
      <c r="C11" s="119"/>
      <c r="D11" s="119"/>
    </row>
    <row r="12" spans="1:4" ht="28.2" thickBot="1" x14ac:dyDescent="0.3">
      <c r="A12" s="82" t="s">
        <v>46</v>
      </c>
      <c r="B12" s="83">
        <v>2019</v>
      </c>
      <c r="C12" s="84">
        <v>2020</v>
      </c>
      <c r="D12" s="85" t="s">
        <v>19</v>
      </c>
    </row>
    <row r="13" spans="1:4" ht="15" thickBot="1" x14ac:dyDescent="0.3">
      <c r="A13" s="120" t="s">
        <v>47</v>
      </c>
      <c r="B13" s="121"/>
      <c r="C13" s="121"/>
      <c r="D13" s="122"/>
    </row>
    <row r="14" spans="1:4" x14ac:dyDescent="0.25">
      <c r="A14" s="45" t="s">
        <v>54</v>
      </c>
      <c r="B14" s="53">
        <f>'Исходные данные'!C18/('Исходные данные'!C4/2+'Исходные данные'!C5/2+'Исходные данные'!C7/2+'Исходные данные'!C8/2)</f>
        <v>3.3126754603002109</v>
      </c>
      <c r="C14" s="41">
        <f>'Исходные данные'!D18/('Исходные данные'!D4/2+'Исходные данные'!D5/2+'Исходные данные'!D7/2+'Исходные данные'!D8/2)</f>
        <v>6.1504968075521855</v>
      </c>
      <c r="D14" s="42">
        <f>C14/B14</f>
        <v>1.8566554077696453</v>
      </c>
    </row>
    <row r="15" spans="1:4" ht="14.4" thickBot="1" x14ac:dyDescent="0.3">
      <c r="A15" s="46" t="s">
        <v>55</v>
      </c>
      <c r="B15" s="81">
        <f>365/B14</f>
        <v>110.18284295405198</v>
      </c>
      <c r="C15" s="43">
        <f>365/C14</f>
        <v>59.34479952120568</v>
      </c>
      <c r="D15" s="44">
        <f t="shared" ref="D15:D18" si="0">C15/B15</f>
        <v>0.5386029070420103</v>
      </c>
    </row>
    <row r="16" spans="1:4" ht="15" thickBot="1" x14ac:dyDescent="0.3">
      <c r="A16" s="120" t="s">
        <v>48</v>
      </c>
      <c r="B16" s="121"/>
      <c r="C16" s="121"/>
      <c r="D16" s="122"/>
    </row>
    <row r="17" spans="1:4" x14ac:dyDescent="0.25">
      <c r="A17" s="45" t="s">
        <v>54</v>
      </c>
      <c r="B17" s="53">
        <f>('Исходные данные'!C19+'Исходные данные'!C20+'Исходные данные'!C21-'Исходные данные'!C22)/('Исходные данные'!C10/2+'Исходные данные'!C11/2+'Исходные данные'!C13/2+'Исходные данные'!C14/2)</f>
        <v>3.1658382957620663</v>
      </c>
      <c r="C17" s="41">
        <f>('Исходные данные'!D19+'Исходные данные'!D20+'Исходные данные'!D21-'Исходные данные'!D22)/('Исходные данные'!D10/2+'Исходные данные'!D11/2+'Исходные данные'!D13/2+'Исходные данные'!D14/2)</f>
        <v>3.1511339328974248</v>
      </c>
      <c r="D17" s="42">
        <f t="shared" si="0"/>
        <v>0.99535530197978672</v>
      </c>
    </row>
    <row r="18" spans="1:4" ht="14.4" thickBot="1" x14ac:dyDescent="0.3">
      <c r="A18" s="18" t="s">
        <v>55</v>
      </c>
      <c r="B18" s="51">
        <f>365/B17</f>
        <v>115.29331756729503</v>
      </c>
      <c r="C18" s="39">
        <f>365/C17</f>
        <v>115.8313190656379</v>
      </c>
      <c r="D18" s="40">
        <f t="shared" si="0"/>
        <v>1.0046663719085787</v>
      </c>
    </row>
    <row r="84" spans="1:3" x14ac:dyDescent="0.25">
      <c r="A84" s="5"/>
      <c r="B84" s="5">
        <v>2019</v>
      </c>
      <c r="C84" s="5">
        <v>2020</v>
      </c>
    </row>
    <row r="85" spans="1:3" x14ac:dyDescent="0.25">
      <c r="A85" s="5" t="s">
        <v>49</v>
      </c>
      <c r="B85" s="6">
        <f>B15</f>
        <v>110.18284295405198</v>
      </c>
      <c r="C85" s="6">
        <f>C15</f>
        <v>59.34479952120568</v>
      </c>
    </row>
    <row r="86" spans="1:3" x14ac:dyDescent="0.25">
      <c r="A86" s="5" t="s">
        <v>50</v>
      </c>
      <c r="B86" s="6">
        <f>B18</f>
        <v>115.29331756729503</v>
      </c>
      <c r="C86" s="6">
        <f>C18</f>
        <v>115.8313190656379</v>
      </c>
    </row>
  </sheetData>
  <mergeCells count="6">
    <mergeCell ref="A1:B1"/>
    <mergeCell ref="A11:D11"/>
    <mergeCell ref="A13:D13"/>
    <mergeCell ref="A16:D16"/>
    <mergeCell ref="A2:A3"/>
    <mergeCell ref="B2:B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Исходные данные</vt:lpstr>
      <vt:lpstr>Структура и соотношение ДЗ и КЗ</vt:lpstr>
      <vt:lpstr>Темпы роста и оборачиваемость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Ольга</dc:creator>
  <cp:lastModifiedBy>Катя</cp:lastModifiedBy>
  <dcterms:created xsi:type="dcterms:W3CDTF">2015-06-05T18:19:34Z</dcterms:created>
  <dcterms:modified xsi:type="dcterms:W3CDTF">2021-01-14T14:01:48Z</dcterms:modified>
</cp:coreProperties>
</file>