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Анализ расходов\"/>
    </mc:Choice>
  </mc:AlternateContent>
  <xr:revisionPtr revIDLastSave="0" documentId="13_ncr:1_{681A63E5-1F3B-4FE2-83E3-B40EEB6A09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нализ доходов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70" i="1" s="1"/>
  <c r="C22" i="1"/>
  <c r="B70" i="1" s="1"/>
  <c r="D19" i="1"/>
  <c r="C19" i="1"/>
  <c r="D18" i="1"/>
  <c r="C18" i="1"/>
  <c r="D17" i="1"/>
  <c r="C17" i="1"/>
  <c r="D16" i="1"/>
  <c r="C16" i="1"/>
  <c r="D15" i="1"/>
  <c r="C15" i="1"/>
  <c r="D13" i="1"/>
  <c r="C31" i="1" s="1"/>
  <c r="C13" i="1"/>
  <c r="B31" i="1" s="1"/>
  <c r="D12" i="1"/>
  <c r="C12" i="1"/>
  <c r="D11" i="1"/>
  <c r="C30" i="1" s="1"/>
  <c r="C11" i="1"/>
  <c r="B30" i="1" s="1"/>
  <c r="D10" i="1"/>
  <c r="C10" i="1"/>
  <c r="D9" i="1"/>
  <c r="C9" i="1"/>
  <c r="D8" i="1"/>
  <c r="C28" i="1" s="1"/>
  <c r="C8" i="1"/>
  <c r="B43" i="1" s="1"/>
  <c r="D7" i="1"/>
  <c r="D42" i="1" s="1"/>
  <c r="C7" i="1"/>
  <c r="B42" i="1" s="1"/>
  <c r="D6" i="1"/>
  <c r="C26" i="1" s="1"/>
  <c r="C6" i="1"/>
  <c r="B26" i="1" s="1"/>
  <c r="D5" i="1"/>
  <c r="C34" i="1" s="1"/>
  <c r="C5" i="1"/>
  <c r="B34" i="1" s="1"/>
  <c r="C20" i="1" l="1"/>
  <c r="C61" i="1"/>
  <c r="B59" i="1"/>
  <c r="C59" i="1"/>
  <c r="B60" i="1"/>
  <c r="C60" i="1"/>
  <c r="B61" i="1"/>
  <c r="D20" i="1"/>
  <c r="B35" i="1"/>
  <c r="B36" i="1" s="1"/>
  <c r="B29" i="1"/>
  <c r="B27" i="1"/>
  <c r="B52" i="1"/>
  <c r="D41" i="1"/>
  <c r="D43" i="1"/>
  <c r="D51" i="1"/>
  <c r="D52" i="1"/>
  <c r="C27" i="1"/>
  <c r="D27" i="1" s="1"/>
  <c r="B41" i="1"/>
  <c r="B51" i="1"/>
  <c r="B28" i="1"/>
  <c r="D28" i="1" s="1"/>
  <c r="C35" i="1"/>
  <c r="C36" i="1" s="1"/>
  <c r="D34" i="1"/>
  <c r="D30" i="1"/>
  <c r="C29" i="1"/>
  <c r="D26" i="1"/>
  <c r="D31" i="1"/>
  <c r="B25" i="1" l="1"/>
  <c r="B32" i="1" s="1"/>
  <c r="D40" i="1"/>
  <c r="E43" i="1" s="1"/>
  <c r="D29" i="1"/>
  <c r="B50" i="1"/>
  <c r="C51" i="1"/>
  <c r="B40" i="1"/>
  <c r="D35" i="1"/>
  <c r="D46" i="1"/>
  <c r="C66" i="1" s="1"/>
  <c r="D47" i="1"/>
  <c r="C67" i="1" s="1"/>
  <c r="E42" i="1"/>
  <c r="D50" i="1"/>
  <c r="C25" i="1"/>
  <c r="D36" i="1"/>
  <c r="E41" i="1" l="1"/>
  <c r="C74" i="1"/>
  <c r="D53" i="1"/>
  <c r="D48" i="1"/>
  <c r="C68" i="1" s="1"/>
  <c r="C75" i="1" s="1"/>
  <c r="D54" i="1"/>
  <c r="D45" i="1"/>
  <c r="C65" i="1" s="1"/>
  <c r="D49" i="1"/>
  <c r="E40" i="1"/>
  <c r="D25" i="1"/>
  <c r="C32" i="1"/>
  <c r="D32" i="1" s="1"/>
  <c r="B47" i="1"/>
  <c r="B67" i="1" s="1"/>
  <c r="B54" i="1"/>
  <c r="B48" i="1"/>
  <c r="B68" i="1" s="1"/>
  <c r="B75" i="1" s="1"/>
  <c r="B49" i="1"/>
  <c r="B69" i="1" s="1"/>
  <c r="B76" i="1" s="1"/>
  <c r="B46" i="1"/>
  <c r="B66" i="1" s="1"/>
  <c r="B53" i="1"/>
  <c r="C50" i="1" s="1"/>
  <c r="B45" i="1"/>
  <c r="B65" i="1" s="1"/>
  <c r="C43" i="1"/>
  <c r="C42" i="1"/>
  <c r="D55" i="1"/>
  <c r="E50" i="1"/>
  <c r="E51" i="1"/>
  <c r="C41" i="1"/>
  <c r="E52" i="1"/>
  <c r="B55" i="1"/>
  <c r="C52" i="1"/>
  <c r="E53" i="1" l="1"/>
  <c r="B74" i="1"/>
  <c r="E54" i="1"/>
  <c r="E55" i="1"/>
  <c r="D44" i="1"/>
  <c r="E49" i="1" s="1"/>
  <c r="C125" i="1" s="1"/>
  <c r="C69" i="1"/>
  <c r="C76" i="1" s="1"/>
  <c r="C73" i="1"/>
  <c r="B73" i="1"/>
  <c r="B72" i="1"/>
  <c r="C40" i="1"/>
  <c r="C53" i="1" s="1"/>
  <c r="C54" i="1"/>
  <c r="B44" i="1"/>
  <c r="C49" i="1" s="1"/>
  <c r="B125" i="1" s="1"/>
  <c r="C55" i="1"/>
  <c r="C46" i="1" l="1"/>
  <c r="B122" i="1" s="1"/>
  <c r="C72" i="1"/>
  <c r="E47" i="1"/>
  <c r="C123" i="1" s="1"/>
  <c r="B81" i="1"/>
  <c r="B80" i="1"/>
  <c r="B78" i="1"/>
  <c r="E45" i="1"/>
  <c r="E46" i="1"/>
  <c r="C122" i="1" s="1"/>
  <c r="E48" i="1"/>
  <c r="C124" i="1" s="1"/>
  <c r="B79" i="1"/>
  <c r="C47" i="1"/>
  <c r="B123" i="1" s="1"/>
  <c r="C121" i="1"/>
  <c r="C48" i="1"/>
  <c r="B124" i="1" s="1"/>
  <c r="C45" i="1"/>
  <c r="E44" i="1" l="1"/>
  <c r="B82" i="1"/>
  <c r="C44" i="1"/>
  <c r="B121" i="1"/>
</calcChain>
</file>

<file path=xl/sharedStrings.xml><?xml version="1.0" encoding="utf-8"?>
<sst xmlns="http://schemas.openxmlformats.org/spreadsheetml/2006/main" count="96" uniqueCount="75">
  <si>
    <t>Показатель</t>
  </si>
  <si>
    <t>Темп роста, %</t>
  </si>
  <si>
    <t>уд. вес, %</t>
  </si>
  <si>
    <t>Выручка</t>
  </si>
  <si>
    <t>Прочие доходы</t>
  </si>
  <si>
    <t>Строка отчета о финансовых результатах</t>
  </si>
  <si>
    <t>Доходы от участия в других организациях</t>
  </si>
  <si>
    <t>Проценты к получению</t>
  </si>
  <si>
    <t>Себестоимость продаж</t>
  </si>
  <si>
    <t>Коммерческие расходы</t>
  </si>
  <si>
    <t>Управленческие расходы</t>
  </si>
  <si>
    <t>Влияние факторов:</t>
  </si>
  <si>
    <t>×</t>
  </si>
  <si>
    <t>Данные бухгалтерской отчетности</t>
  </si>
  <si>
    <t>Исходные данные</t>
  </si>
  <si>
    <t>Данные годового отчета или иного документа, где есть такая информация</t>
  </si>
  <si>
    <t>Анализ расходов</t>
  </si>
  <si>
    <t>Анализ динамики расходов</t>
  </si>
  <si>
    <t>Расходы по обычным видам деятельности:</t>
  </si>
  <si>
    <t>– себестоимость продаж</t>
  </si>
  <si>
    <t>– коммерческие</t>
  </si>
  <si>
    <t>– управленческие</t>
  </si>
  <si>
    <t>Прочие расходы:</t>
  </si>
  <si>
    <t>– проценты к уплате</t>
  </si>
  <si>
    <t>– остальные</t>
  </si>
  <si>
    <t>Для сравнения:</t>
  </si>
  <si>
    <t>– выручка</t>
  </si>
  <si>
    <t>– совокупные прочие доходы</t>
  </si>
  <si>
    <t>– доходы в целом</t>
  </si>
  <si>
    <t>Проценты к уплате</t>
  </si>
  <si>
    <t>Прочие расходы</t>
  </si>
  <si>
    <t>Расходы в целом</t>
  </si>
  <si>
    <t>Расходы по обычным видам деятельности по функции:</t>
  </si>
  <si>
    <t>Расходы по обычным видам деятельности по характеру:</t>
  </si>
  <si>
    <t>– материальные</t>
  </si>
  <si>
    <t>– на оплату труда</t>
  </si>
  <si>
    <t>– на социальные нужды</t>
  </si>
  <si>
    <t>– амортизация</t>
  </si>
  <si>
    <t>– прочие по обычной деятельности</t>
  </si>
  <si>
    <t>Итого расходов</t>
  </si>
  <si>
    <t>Анализ структуры расходов</t>
  </si>
  <si>
    <t>сумма, тыс. руб.</t>
  </si>
  <si>
    <t>Строка пояснений к балансу и отчету о финансовых результатах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</si>
  <si>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</si>
  <si>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</si>
  <si>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</si>
  <si>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</si>
  <si>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</si>
  <si>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</si>
  <si>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– по обычным видам деятельности</t>
  </si>
  <si>
    <t>– прочих</t>
  </si>
  <si>
    <t>Материальные расходы</t>
  </si>
  <si>
    <t>Прочие расходы по обычной деятельности</t>
  </si>
  <si>
    <t>Коэффициенты:</t>
  </si>
  <si>
    <t>– достаточности выручки, ед.</t>
  </si>
  <si>
    <t>– соотношения доходов и расходов, ед.</t>
  </si>
  <si>
    <t>– рентабельность проданной продукции, %</t>
  </si>
  <si>
    <t>Коэффициентный анализ расходов</t>
  </si>
  <si>
    <t>Исходные данные:</t>
  </si>
  <si>
    <t>– материальные расходы</t>
  </si>
  <si>
    <t>– прочие</t>
  </si>
  <si>
    <t>Результат и факторы из модели:</t>
  </si>
  <si>
    <t>– СП</t>
  </si>
  <si>
    <t>– Ме</t>
  </si>
  <si>
    <t>– Зе</t>
  </si>
  <si>
    <t>– Ае</t>
  </si>
  <si>
    <t>– Не</t>
  </si>
  <si>
    <t>– ∆СП(Ме)</t>
  </si>
  <si>
    <t>– ∆СП(Зе)</t>
  </si>
  <si>
    <t>– ∆СП(Ае)</t>
  </si>
  <si>
    <t>– ∆СП(Не)</t>
  </si>
  <si>
    <t>Факторный анализ расходов</t>
  </si>
  <si>
    <t>– совокупное влияние факторов</t>
  </si>
  <si>
    <t>Объем производства в натуральных единицах</t>
  </si>
  <si>
    <t>– объем производства,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</si>
</sst>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"/>
  </numFmts>
  <fonts count="9" x14ac:knownFonts="1">
    <font>
      <sz val="11"/>
      <color theme="1"/>
      <name val="Tw Cen MT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26"/>
      <color theme="0"/>
      <name val="Arial Black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6"/>
      <color theme="1"/>
      <name val="Arial Black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3" fontId="1" fillId="5" borderId="19" xfId="0" applyNumberFormat="1" applyFont="1" applyFill="1" applyBorder="1" applyAlignment="1">
      <alignment horizontal="center" vertical="center" wrapText="1"/>
    </xf>
    <xf numFmtId="3" fontId="1" fillId="5" borderId="7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8" borderId="0" xfId="0" applyFont="1" applyFill="1" applyBorder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5" fillId="7" borderId="6" xfId="0" applyFont="1" applyFill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3" fontId="1" fillId="9" borderId="1" xfId="0" applyNumberFormat="1" applyFont="1" applyFill="1" applyBorder="1" applyAlignment="1">
      <alignment horizontal="center" vertical="center" wrapText="1"/>
    </xf>
    <xf numFmtId="3" fontId="1" fillId="9" borderId="19" xfId="0" applyNumberFormat="1" applyFont="1" applyFill="1" applyBorder="1" applyAlignment="1">
      <alignment horizontal="center" vertical="center" wrapText="1"/>
    </xf>
    <xf numFmtId="165" fontId="1" fillId="9" borderId="7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0" fontId="1" fillId="7" borderId="33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3" fontId="1" fillId="9" borderId="6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166" fontId="7" fillId="0" borderId="33" xfId="0" applyNumberFormat="1" applyFont="1" applyBorder="1" applyAlignment="1">
      <alignment horizontal="center" vertical="center" wrapText="1"/>
    </xf>
    <xf numFmtId="166" fontId="7" fillId="0" borderId="29" xfId="0" applyNumberFormat="1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166" fontId="7" fillId="0" borderId="19" xfId="0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u-RU"/>
              <a:t>Структура расходов по элементам, %</a:t>
            </a:r>
          </a:p>
        </c:rich>
      </c:tx>
      <c:layout>
        <c:manualLayout>
          <c:xMode val="edge"/>
          <c:yMode val="edge"/>
          <c:x val="0.31354492453149241"/>
          <c:y val="2.6709973753280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1742534953213951"/>
          <c:y val="0.11453939686110665"/>
          <c:w val="0.86283420943573186"/>
          <c:h val="0.623988644276608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'Анализ доходов'!$A$121</c:f>
              <c:strCache>
                <c:ptCount val="1"/>
                <c:pt idx="0">
                  <c:v>Материальные расходы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'Анализ доходов'!$B$120:$C$120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'Анализ доходов'!$B$121:$C$121</c:f>
              <c:numCache>
                <c:formatCode>#\ ##0.0</c:formatCode>
                <c:ptCount val="2"/>
                <c:pt idx="0">
                  <c:v>37.085488795785579</c:v>
                </c:pt>
                <c:pt idx="1">
                  <c:v>34.93420426952764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8-4500-A247-1704E1970A58}"/>
            </c:ext>
          </c:extLst>
        </c:ser>
        <c:ser>
          <c:idx val="1"/>
          <c:order val="1"/>
          <c:tx>
            <c:strRef>
              <c:f>'Анализ доходов'!$A$122</c:f>
              <c:strCache>
                <c:ptCount val="1"/>
                <c:pt idx="0">
                  <c:v>Расходы на оплату труда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'Анализ доходов'!$B$120:$C$120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'Анализ доходов'!$B$122:$C$122</c:f>
              <c:numCache>
                <c:formatCode>#\ ##0.0</c:formatCode>
                <c:ptCount val="2"/>
                <c:pt idx="0">
                  <c:v>30.286110832827053</c:v>
                </c:pt>
                <c:pt idx="1">
                  <c:v>30.713616201931597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08-4500-A247-1704E1970A58}"/>
            </c:ext>
          </c:extLst>
        </c:ser>
        <c:ser>
          <c:idx val="2"/>
          <c:order val="2"/>
          <c:tx>
            <c:strRef>
              <c:f>'Анализ доходов'!$A$123</c:f>
              <c:strCache>
                <c:ptCount val="1"/>
                <c:pt idx="0">
                  <c:v>Отчисления на социальные нужды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'Анализ доходов'!$B$120:$C$120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'Анализ доходов'!$B$123:$C$123</c:f>
              <c:numCache>
                <c:formatCode>#\ ##0.0</c:formatCode>
                <c:ptCount val="2"/>
                <c:pt idx="0">
                  <c:v>8.6344404490091744</c:v>
                </c:pt>
                <c:pt idx="1">
                  <c:v>8.7510718129318654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08-4500-A247-1704E1970A58}"/>
            </c:ext>
          </c:extLst>
        </c:ser>
        <c:ser>
          <c:idx val="3"/>
          <c:order val="3"/>
          <c:tx>
            <c:strRef>
              <c:f>'Анализ доходов'!$A$124</c:f>
              <c:strCache>
                <c:ptCount val="1"/>
                <c:pt idx="0">
                  <c:v>Амортизация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'Анализ доходов'!$B$120:$C$120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'Анализ доходов'!$B$124:$C$124</c:f>
              <c:numCache>
                <c:formatCode>#\ ##0.0</c:formatCode>
                <c:ptCount val="2"/>
                <c:pt idx="0">
                  <c:v>15.569385390484674</c:v>
                </c:pt>
                <c:pt idx="1">
                  <c:v>16.738916549011158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08-4500-A247-1704E1970A58}"/>
            </c:ext>
          </c:extLst>
        </c:ser>
        <c:ser>
          <c:idx val="4"/>
          <c:order val="4"/>
          <c:tx>
            <c:strRef>
              <c:f>'Анализ доходов'!$A$125</c:f>
              <c:strCache>
                <c:ptCount val="1"/>
                <c:pt idx="0">
                  <c:v>Прочие расходы по обычной деятельности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'Анализ доходов'!$B$120:$C$120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'Анализ доходов'!$B$125:$C$125</c:f>
              <c:numCache>
                <c:formatCode>#\ ##0.0</c:formatCode>
                <c:ptCount val="2"/>
                <c:pt idx="0">
                  <c:v>8.424574531893521</c:v>
                </c:pt>
                <c:pt idx="1">
                  <c:v>8.8621911665977322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08-4500-A247-1704E1970A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6722776"/>
        <c:axId val="566724416"/>
      </c:barChart>
      <c:catAx>
        <c:axId val="566722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66724416"/>
        <c:crosses val="autoZero"/>
        <c:auto val="1"/>
        <c:lblAlgn val="ctr"/>
        <c:lblOffset val="100"/>
        <c:noMultiLvlLbl val="0"/>
      </c:catAx>
      <c:valAx>
        <c:axId val="566724416"/>
        <c:scaling>
          <c:orientation val="minMax"/>
          <c:max val="100"/>
        </c:scaling>
        <c:delete val="0"/>
        <c:axPos val="l"/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66722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99346376716762"/>
          <c:y val="0.79128759985439645"/>
          <c:w val="0.70173606415541545"/>
          <c:h val="0.19499028953571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33</xdr:row>
      <xdr:rowOff>104775</xdr:rowOff>
    </xdr:from>
    <xdr:to>
      <xdr:col>11</xdr:col>
      <xdr:colOff>600075</xdr:colOff>
      <xdr:row>57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3D67C68-6919-471D-9B81-F12C6E6954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Контур">
  <a:themeElements>
    <a:clrScheme name="Контур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Контур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онтур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125"/>
  <sheetViews>
    <sheetView tabSelected="1" workbookViewId="0">
      <selection sqref="A1:D1"/>
    </sheetView>
  </sheetViews>
  <sheetFormatPr defaultRowHeight="14.25" x14ac:dyDescent="0.2"/>
  <cols>
    <col min="1" max="1" width="53.625" style="1" customWidth="1"/>
    <col min="2" max="8" width="19.625" style="1" customWidth="1"/>
    <col min="9" max="16384" width="9" style="1"/>
  </cols>
  <sheetData>
    <row r="1" spans="1:4" ht="41.25" x14ac:dyDescent="0.2">
      <c r="A1" s="98" t="s">
        <v>16</v>
      </c>
      <c r="B1" s="98"/>
      <c r="C1" s="98"/>
      <c r="D1" s="98"/>
    </row>
    <row r="2" spans="1:4" ht="18.75" thickBot="1" x14ac:dyDescent="0.25">
      <c r="A2" s="99" t="s">
        <v>14</v>
      </c>
      <c r="B2" s="99"/>
      <c r="C2" s="99"/>
      <c r="D2" s="99"/>
    </row>
    <row r="3" spans="1:4" ht="15.75" thickBot="1" x14ac:dyDescent="0.25">
      <c r="A3" s="100" t="s">
        <v>13</v>
      </c>
      <c r="B3" s="101"/>
      <c r="C3" s="101"/>
      <c r="D3" s="102"/>
    </row>
    <row r="4" spans="1:4" ht="45.75" thickBot="1" x14ac:dyDescent="0.25">
      <c r="A4" s="17" t="s">
        <v>0</v>
      </c>
      <c r="B4" s="18" t="s">
        <v>5</v>
      </c>
      <c r="C4" s="19">
        <v>2019</v>
      </c>
      <c r="D4" s="20">
        <v>2020</v>
      </c>
    </row>
    <row r="5" spans="1:4" x14ac:dyDescent="0.2">
      <c r="A5" s="9" t="s">
        <v>3</v>
      </c>
      <c r="B5" s="15">
        <v>2110</v>
      </c>
      <c r="C5" s="11">
        <f>1848122501/1000</f>
        <v>1848122.5009999999</v>
      </c>
      <c r="D5" s="7">
        <f>1813074312/1000</f>
        <v>1813074.3119999999</v>
      </c>
    </row>
    <row r="6" spans="1:4" x14ac:dyDescent="0.2">
      <c r="A6" s="10" t="s">
        <v>8</v>
      </c>
      <c r="B6" s="16">
        <v>2120</v>
      </c>
      <c r="C6" s="12">
        <f>1542194683/1000</f>
        <v>1542194.683</v>
      </c>
      <c r="D6" s="6">
        <f>1549907684/1000</f>
        <v>1549907.6839999999</v>
      </c>
    </row>
    <row r="7" spans="1:4" x14ac:dyDescent="0.2">
      <c r="A7" s="10" t="s">
        <v>9</v>
      </c>
      <c r="B7" s="16">
        <v>2210</v>
      </c>
      <c r="C7" s="12">
        <f>82802/1000</f>
        <v>82.802000000000007</v>
      </c>
      <c r="D7" s="6">
        <f>108268/1000</f>
        <v>108.268</v>
      </c>
    </row>
    <row r="8" spans="1:4" x14ac:dyDescent="0.2">
      <c r="A8" s="10" t="s">
        <v>10</v>
      </c>
      <c r="B8" s="16">
        <v>2220</v>
      </c>
      <c r="C8" s="12">
        <f>139552964/1000</f>
        <v>139552.96400000001</v>
      </c>
      <c r="D8" s="6">
        <f>145738101/1000</f>
        <v>145738.101</v>
      </c>
    </row>
    <row r="9" spans="1:4" x14ac:dyDescent="0.2">
      <c r="A9" s="10" t="s">
        <v>6</v>
      </c>
      <c r="B9" s="16">
        <v>2310</v>
      </c>
      <c r="C9" s="12">
        <f>28653748/1000</f>
        <v>28653.748</v>
      </c>
      <c r="D9" s="6">
        <f>39731668/1000</f>
        <v>39731.667999999998</v>
      </c>
    </row>
    <row r="10" spans="1:4" x14ac:dyDescent="0.2">
      <c r="A10" s="10" t="s">
        <v>7</v>
      </c>
      <c r="B10" s="16">
        <v>2320</v>
      </c>
      <c r="C10" s="12">
        <f>2246944/1000</f>
        <v>2246.944</v>
      </c>
      <c r="D10" s="6">
        <f>2315314/1000</f>
        <v>2315.3139999999999</v>
      </c>
    </row>
    <row r="11" spans="1:4" x14ac:dyDescent="0.2">
      <c r="A11" s="10" t="s">
        <v>29</v>
      </c>
      <c r="B11" s="41">
        <v>2330</v>
      </c>
      <c r="C11" s="12">
        <f>72147920/1000</f>
        <v>72147.92</v>
      </c>
      <c r="D11" s="6">
        <f>77626827/1000</f>
        <v>77626.827000000005</v>
      </c>
    </row>
    <row r="12" spans="1:4" x14ac:dyDescent="0.2">
      <c r="A12" s="10" t="s">
        <v>4</v>
      </c>
      <c r="B12" s="16">
        <v>2340</v>
      </c>
      <c r="C12" s="12">
        <f>100679947/1000</f>
        <v>100679.947</v>
      </c>
      <c r="D12" s="6">
        <f>105010089/1000</f>
        <v>105010.08900000001</v>
      </c>
    </row>
    <row r="13" spans="1:4" ht="15" thickBot="1" x14ac:dyDescent="0.25">
      <c r="A13" s="35" t="s">
        <v>30</v>
      </c>
      <c r="B13" s="36">
        <v>2350</v>
      </c>
      <c r="C13" s="28">
        <f>127480065/1000</f>
        <v>127480.065</v>
      </c>
      <c r="D13" s="29">
        <f>182378808/1000</f>
        <v>182378.80799999999</v>
      </c>
    </row>
    <row r="14" spans="1:4" ht="60.75" thickBot="1" x14ac:dyDescent="0.25">
      <c r="A14" s="37"/>
      <c r="B14" s="18" t="s">
        <v>42</v>
      </c>
      <c r="C14" s="38"/>
      <c r="D14" s="39"/>
    </row>
    <row r="15" spans="1:4" x14ac:dyDescent="0.2">
      <c r="A15" s="113" t="s">
        <v>43</v>
      </c>
      <c r="B15" s="114">
        <v>5610</v>
      </c>
      <c r="C15" s="115">
        <f>620255425/1000</f>
        <v>620255.42500000005</v>
      </c>
      <c r="D15" s="116">
        <f>589534474/1000</f>
        <v>589534.47400000005</v>
      </c>
    </row>
    <row r="16" spans="1:4" x14ac:dyDescent="0.2">
      <c r="A16" s="10" t="s">
        <v>44</v>
      </c>
      <c r="B16" s="41">
        <v>5620</v>
      </c>
      <c r="C16" s="12">
        <f>506535714/1000</f>
        <v>506535.71399999998</v>
      </c>
      <c r="D16" s="6">
        <f>518309661/1000</f>
        <v>518309.66100000002</v>
      </c>
    </row>
    <row r="17" spans="1:7" x14ac:dyDescent="0.2">
      <c r="A17" s="10" t="s">
        <v>45</v>
      </c>
      <c r="B17" s="41">
        <v>5630</v>
      </c>
      <c r="C17" s="12">
        <f>144411162/1000</f>
        <v>144411.16200000001</v>
      </c>
      <c r="D17" s="6">
        <f>147679291/1000</f>
        <v>147679.291</v>
      </c>
    </row>
    <row r="18" spans="1:7" x14ac:dyDescent="0.2">
      <c r="A18" s="10" t="s">
        <v>46</v>
      </c>
      <c r="B18" s="41">
        <v>5640</v>
      </c>
      <c r="C18" s="12">
        <f>260398233/1000</f>
        <v>260398.23300000001</v>
      </c>
      <c r="D18" s="6">
        <f>282478693/1000</f>
        <v>282478.69300000003</v>
      </c>
    </row>
    <row r="19" spans="1:7" x14ac:dyDescent="0.2">
      <c r="A19" s="10" t="s">
        <v>47</v>
      </c>
      <c r="B19" s="41">
        <v>5650</v>
      </c>
      <c r="C19" s="12">
        <f>140901151/1000</f>
        <v>140901.15100000001</v>
      </c>
      <c r="D19" s="6">
        <f>149554493/1000</f>
        <v>149554.49299999999</v>
      </c>
    </row>
    <row r="20" spans="1:7" ht="15" thickBot="1" x14ac:dyDescent="0.25">
      <c r="A20" s="117" t="s">
        <v>48</v>
      </c>
      <c r="B20" s="118">
        <v>5660</v>
      </c>
      <c r="C20" s="13">
        <f>SUM(C15:C19)</f>
        <v>1672501.6850000001</v>
      </c>
      <c r="D20" s="119">
        <f>SUM(D15:D19)</f>
        <v>1687556.612</v>
      </c>
    </row>
    <row r="21" spans="1:7" ht="15.75" thickBot="1" x14ac:dyDescent="0.25">
      <c r="A21" s="103" t="s">
        <v>15</v>
      </c>
      <c r="B21" s="103"/>
      <c r="C21" s="103"/>
      <c r="D21" s="103"/>
    </row>
    <row r="22" spans="1:7" ht="15" thickBot="1" x14ac:dyDescent="0.25">
      <c r="A22" s="8" t="s">
        <v>73</v>
      </c>
      <c r="B22" s="14" t="s">
        <v>12</v>
      </c>
      <c r="C22" s="111">
        <f>3305+133.4</f>
        <v>3438.4</v>
      </c>
      <c r="D22" s="112">
        <f>3221+78.1</f>
        <v>3299.1</v>
      </c>
    </row>
    <row r="23" spans="1:7" ht="25.5" thickBot="1" x14ac:dyDescent="0.25">
      <c r="A23" s="91" t="s">
        <v>17</v>
      </c>
      <c r="B23" s="91"/>
      <c r="C23" s="91"/>
      <c r="D23" s="91"/>
      <c r="E23" s="42"/>
      <c r="F23" s="42"/>
    </row>
    <row r="24" spans="1:7" ht="15.75" thickBot="1" x14ac:dyDescent="0.25">
      <c r="A24" s="30" t="s">
        <v>0</v>
      </c>
      <c r="B24" s="31">
        <v>2019</v>
      </c>
      <c r="C24" s="33">
        <v>2020</v>
      </c>
      <c r="D24" s="34" t="s">
        <v>1</v>
      </c>
      <c r="E24" s="2"/>
      <c r="F24" s="2"/>
      <c r="G24" s="3"/>
    </row>
    <row r="25" spans="1:7" ht="15.75" thickBot="1" x14ac:dyDescent="0.25">
      <c r="A25" s="51" t="s">
        <v>18</v>
      </c>
      <c r="B25" s="52">
        <f>SUM(B26:B28)</f>
        <v>1681830.4489999998</v>
      </c>
      <c r="C25" s="53">
        <f>SUM(C26:C28)</f>
        <v>1695754.0529999998</v>
      </c>
      <c r="D25" s="54">
        <f>C25/B25*100</f>
        <v>100.82788392898219</v>
      </c>
      <c r="E25" s="4"/>
      <c r="F25" s="4"/>
      <c r="G25" s="3"/>
    </row>
    <row r="26" spans="1:7" ht="15" x14ac:dyDescent="0.2">
      <c r="A26" s="61" t="s">
        <v>19</v>
      </c>
      <c r="B26" s="50">
        <f t="shared" ref="B26:C28" si="0">C6</f>
        <v>1542194.683</v>
      </c>
      <c r="C26" s="11">
        <f t="shared" si="0"/>
        <v>1549907.6839999999</v>
      </c>
      <c r="D26" s="23">
        <f t="shared" ref="D26:D36" si="1">C26/B26*100</f>
        <v>100.50013147399757</v>
      </c>
      <c r="E26" s="4"/>
      <c r="F26" s="4"/>
      <c r="G26" s="3"/>
    </row>
    <row r="27" spans="1:7" ht="15" x14ac:dyDescent="0.2">
      <c r="A27" s="62" t="s">
        <v>20</v>
      </c>
      <c r="B27" s="48">
        <f t="shared" si="0"/>
        <v>82.802000000000007</v>
      </c>
      <c r="C27" s="12">
        <f t="shared" si="0"/>
        <v>108.268</v>
      </c>
      <c r="D27" s="21">
        <f t="shared" si="1"/>
        <v>130.75529576580277</v>
      </c>
      <c r="E27" s="4"/>
      <c r="F27" s="4"/>
      <c r="G27" s="3"/>
    </row>
    <row r="28" spans="1:7" ht="15.75" thickBot="1" x14ac:dyDescent="0.25">
      <c r="A28" s="63" t="s">
        <v>21</v>
      </c>
      <c r="B28" s="55">
        <f t="shared" si="0"/>
        <v>139552.96400000001</v>
      </c>
      <c r="C28" s="28">
        <f t="shared" si="0"/>
        <v>145738.101</v>
      </c>
      <c r="D28" s="56">
        <f t="shared" si="1"/>
        <v>104.43210722489562</v>
      </c>
      <c r="E28" s="4"/>
      <c r="F28" s="4"/>
      <c r="G28" s="3"/>
    </row>
    <row r="29" spans="1:7" ht="15.75" thickBot="1" x14ac:dyDescent="0.25">
      <c r="A29" s="51" t="s">
        <v>22</v>
      </c>
      <c r="B29" s="52">
        <f>SUM(B30:B31)</f>
        <v>199627.98499999999</v>
      </c>
      <c r="C29" s="53">
        <f>SUM(C30:C31)</f>
        <v>260005.63500000001</v>
      </c>
      <c r="D29" s="54">
        <f t="shared" si="1"/>
        <v>130.24508312299002</v>
      </c>
      <c r="E29" s="4"/>
      <c r="F29" s="4"/>
      <c r="G29" s="3"/>
    </row>
    <row r="30" spans="1:7" ht="15" x14ac:dyDescent="0.2">
      <c r="A30" s="61" t="s">
        <v>23</v>
      </c>
      <c r="B30" s="50">
        <f>C11</f>
        <v>72147.92</v>
      </c>
      <c r="C30" s="11">
        <f>D11</f>
        <v>77626.827000000005</v>
      </c>
      <c r="D30" s="23">
        <f t="shared" si="1"/>
        <v>107.59399162165731</v>
      </c>
      <c r="E30" s="4"/>
      <c r="F30" s="4"/>
      <c r="G30" s="3"/>
    </row>
    <row r="31" spans="1:7" ht="15.75" thickBot="1" x14ac:dyDescent="0.25">
      <c r="A31" s="63" t="s">
        <v>24</v>
      </c>
      <c r="B31" s="55">
        <f>C13</f>
        <v>127480.065</v>
      </c>
      <c r="C31" s="28">
        <f>D13</f>
        <v>182378.80799999999</v>
      </c>
      <c r="D31" s="56">
        <f t="shared" si="1"/>
        <v>143.06457091938256</v>
      </c>
      <c r="E31" s="4"/>
      <c r="F31" s="4"/>
      <c r="G31" s="3"/>
    </row>
    <row r="32" spans="1:7" ht="15.75" thickBot="1" x14ac:dyDescent="0.25">
      <c r="A32" s="51" t="s">
        <v>31</v>
      </c>
      <c r="B32" s="52">
        <f>B25+B29</f>
        <v>1881458.4339999999</v>
      </c>
      <c r="C32" s="53">
        <f>C25+C29</f>
        <v>1955759.6879999998</v>
      </c>
      <c r="D32" s="54">
        <f t="shared" si="1"/>
        <v>103.94913077309047</v>
      </c>
      <c r="E32" s="4"/>
      <c r="F32" s="4"/>
      <c r="G32" s="3"/>
    </row>
    <row r="33" spans="1:7" ht="15.75" thickBot="1" x14ac:dyDescent="0.25">
      <c r="A33" s="51" t="s">
        <v>25</v>
      </c>
      <c r="B33" s="57" t="s">
        <v>12</v>
      </c>
      <c r="C33" s="58" t="s">
        <v>12</v>
      </c>
      <c r="D33" s="59" t="s">
        <v>12</v>
      </c>
      <c r="E33" s="4"/>
      <c r="F33" s="4"/>
      <c r="G33" s="3"/>
    </row>
    <row r="34" spans="1:7" ht="15" x14ac:dyDescent="0.2">
      <c r="A34" s="61" t="s">
        <v>26</v>
      </c>
      <c r="B34" s="50">
        <f>C5</f>
        <v>1848122.5009999999</v>
      </c>
      <c r="C34" s="11">
        <f>D5</f>
        <v>1813074.3119999999</v>
      </c>
      <c r="D34" s="23">
        <f t="shared" si="1"/>
        <v>98.103578686962805</v>
      </c>
      <c r="E34" s="4"/>
      <c r="F34" s="4"/>
      <c r="G34" s="3"/>
    </row>
    <row r="35" spans="1:7" ht="15" x14ac:dyDescent="0.2">
      <c r="A35" s="62" t="s">
        <v>27</v>
      </c>
      <c r="B35" s="48">
        <f>C9+C10+C12</f>
        <v>131580.639</v>
      </c>
      <c r="C35" s="12">
        <f>D9+D10+D12</f>
        <v>147057.071</v>
      </c>
      <c r="D35" s="21">
        <f t="shared" si="1"/>
        <v>111.76193710383183</v>
      </c>
      <c r="E35" s="4"/>
      <c r="F35" s="4"/>
      <c r="G35" s="3"/>
    </row>
    <row r="36" spans="1:7" ht="15.75" thickBot="1" x14ac:dyDescent="0.25">
      <c r="A36" s="64" t="s">
        <v>28</v>
      </c>
      <c r="B36" s="49">
        <f>B34+B35</f>
        <v>1979703.14</v>
      </c>
      <c r="C36" s="13">
        <f>C34+C35</f>
        <v>1960131.3829999999</v>
      </c>
      <c r="D36" s="22">
        <f t="shared" si="1"/>
        <v>99.011379201025065</v>
      </c>
      <c r="E36" s="5"/>
      <c r="F36" s="4"/>
      <c r="G36" s="3"/>
    </row>
    <row r="37" spans="1:7" ht="25.5" thickBot="1" x14ac:dyDescent="0.25">
      <c r="A37" s="91" t="s">
        <v>40</v>
      </c>
      <c r="B37" s="91"/>
      <c r="C37" s="91"/>
      <c r="D37" s="91"/>
      <c r="E37" s="91"/>
      <c r="F37" s="3"/>
      <c r="G37" s="3"/>
    </row>
    <row r="38" spans="1:7" x14ac:dyDescent="0.2">
      <c r="A38" s="104" t="s">
        <v>0</v>
      </c>
      <c r="B38" s="106">
        <v>2019</v>
      </c>
      <c r="C38" s="107"/>
      <c r="D38" s="108">
        <v>2020</v>
      </c>
      <c r="E38" s="107"/>
      <c r="F38" s="3"/>
      <c r="G38" s="3"/>
    </row>
    <row r="39" spans="1:7" ht="15" thickBot="1" x14ac:dyDescent="0.25">
      <c r="A39" s="105"/>
      <c r="B39" s="65" t="s">
        <v>41</v>
      </c>
      <c r="C39" s="66" t="s">
        <v>2</v>
      </c>
      <c r="D39" s="67" t="s">
        <v>41</v>
      </c>
      <c r="E39" s="66" t="s">
        <v>2</v>
      </c>
      <c r="F39" s="3"/>
      <c r="G39" s="3"/>
    </row>
    <row r="40" spans="1:7" ht="15" thickBot="1" x14ac:dyDescent="0.25">
      <c r="A40" s="51" t="s">
        <v>32</v>
      </c>
      <c r="B40" s="70">
        <f>SUM(B41:B43)</f>
        <v>1681830.4489999998</v>
      </c>
      <c r="C40" s="54">
        <f>SUM(C41:C43)</f>
        <v>100.00000000000001</v>
      </c>
      <c r="D40" s="53">
        <f>SUM(D41:D43)</f>
        <v>1695754.0529999998</v>
      </c>
      <c r="E40" s="54">
        <f>SUM(E41:E43)</f>
        <v>100</v>
      </c>
    </row>
    <row r="41" spans="1:7" x14ac:dyDescent="0.2">
      <c r="A41" s="61" t="s">
        <v>19</v>
      </c>
      <c r="B41" s="25">
        <f>C6</f>
        <v>1542194.683</v>
      </c>
      <c r="C41" s="23">
        <f>B41/$B$40*100</f>
        <v>91.697393391645051</v>
      </c>
      <c r="D41" s="11">
        <f>D6</f>
        <v>1549907.6839999999</v>
      </c>
      <c r="E41" s="23">
        <f>D41/$D$40*100</f>
        <v>91.399320630136216</v>
      </c>
    </row>
    <row r="42" spans="1:7" x14ac:dyDescent="0.2">
      <c r="A42" s="62" t="s">
        <v>20</v>
      </c>
      <c r="B42" s="26">
        <f>C7</f>
        <v>82.802000000000007</v>
      </c>
      <c r="C42" s="40">
        <f t="shared" ref="C42:C43" si="2">B42/$B$40*100</f>
        <v>4.9233262514204856E-3</v>
      </c>
      <c r="D42" s="12">
        <f>D7</f>
        <v>108.268</v>
      </c>
      <c r="E42" s="40">
        <f t="shared" ref="E42:E43" si="3">D42/$D$40*100</f>
        <v>6.3846522913190411E-3</v>
      </c>
    </row>
    <row r="43" spans="1:7" ht="15" thickBot="1" x14ac:dyDescent="0.25">
      <c r="A43" s="63" t="s">
        <v>21</v>
      </c>
      <c r="B43" s="68">
        <f>C8</f>
        <v>139552.96400000001</v>
      </c>
      <c r="C43" s="56">
        <f t="shared" si="2"/>
        <v>8.2976832821035469</v>
      </c>
      <c r="D43" s="28">
        <f>D8</f>
        <v>145738.101</v>
      </c>
      <c r="E43" s="56">
        <f t="shared" si="3"/>
        <v>8.5942947175724669</v>
      </c>
      <c r="F43" s="46"/>
    </row>
    <row r="44" spans="1:7" ht="15" thickBot="1" x14ac:dyDescent="0.25">
      <c r="A44" s="51" t="s">
        <v>33</v>
      </c>
      <c r="B44" s="70">
        <f>SUM(B45:B49)</f>
        <v>1681830.4489999998</v>
      </c>
      <c r="C44" s="54">
        <f>SUM(C45:C49)</f>
        <v>100</v>
      </c>
      <c r="D44" s="53">
        <f>SUM(D45:D49)</f>
        <v>1695754.0530000001</v>
      </c>
      <c r="E44" s="54">
        <f>SUM(E45:E49)</f>
        <v>100</v>
      </c>
    </row>
    <row r="45" spans="1:7" x14ac:dyDescent="0.2">
      <c r="A45" s="24" t="s">
        <v>34</v>
      </c>
      <c r="B45" s="25">
        <f>$B$40*C15/$C$20</f>
        <v>623715.04272800521</v>
      </c>
      <c r="C45" s="23">
        <f>B45/$B$44*100</f>
        <v>37.085488795785579</v>
      </c>
      <c r="D45" s="11">
        <f>$D$40*D15/$D$20</f>
        <v>592398.18478381401</v>
      </c>
      <c r="E45" s="23">
        <f>D45/$D$44*100</f>
        <v>34.93420426952764</v>
      </c>
    </row>
    <row r="46" spans="1:7" x14ac:dyDescent="0.2">
      <c r="A46" s="62" t="s">
        <v>35</v>
      </c>
      <c r="B46" s="26">
        <f>$B$40*C16/$C$20</f>
        <v>509361.03380437277</v>
      </c>
      <c r="C46" s="21">
        <f t="shared" ref="C46:C49" si="4">B46/$B$44*100</f>
        <v>30.286110832827053</v>
      </c>
      <c r="D46" s="12">
        <f>$D$40*D16/$D$20</f>
        <v>520827.3915671198</v>
      </c>
      <c r="E46" s="21">
        <f t="shared" ref="E46:E49" si="5">D46/$D$44*100</f>
        <v>30.713616201931597</v>
      </c>
    </row>
    <row r="47" spans="1:7" x14ac:dyDescent="0.2">
      <c r="A47" s="62" t="s">
        <v>36</v>
      </c>
      <c r="B47" s="26">
        <f>$B$40*C17/$C$20</f>
        <v>145216.64857220859</v>
      </c>
      <c r="C47" s="21">
        <f t="shared" si="4"/>
        <v>8.6344404490091744</v>
      </c>
      <c r="D47" s="12">
        <f>$D$40*D17/$D$20</f>
        <v>148396.6549487327</v>
      </c>
      <c r="E47" s="21">
        <f t="shared" si="5"/>
        <v>8.7510718129318654</v>
      </c>
    </row>
    <row r="48" spans="1:7" x14ac:dyDescent="0.2">
      <c r="A48" s="62" t="s">
        <v>37</v>
      </c>
      <c r="B48" s="26">
        <f>$B$40*C18/$C$20</f>
        <v>261850.66421932878</v>
      </c>
      <c r="C48" s="21">
        <f t="shared" si="4"/>
        <v>15.569385390484674</v>
      </c>
      <c r="D48" s="12">
        <f>$D$40*D18/$D$20</f>
        <v>283850.85580814444</v>
      </c>
      <c r="E48" s="21">
        <f t="shared" si="5"/>
        <v>16.738916549011158</v>
      </c>
    </row>
    <row r="49" spans="1:6" ht="15" thickBot="1" x14ac:dyDescent="0.25">
      <c r="A49" s="63" t="s">
        <v>38</v>
      </c>
      <c r="B49" s="68">
        <f>$B$40*C19/$C$20</f>
        <v>141687.05967608443</v>
      </c>
      <c r="C49" s="56">
        <f t="shared" si="4"/>
        <v>8.424574531893521</v>
      </c>
      <c r="D49" s="28">
        <f>$D$40*D19/$D$20</f>
        <v>150280.96589218904</v>
      </c>
      <c r="E49" s="56">
        <f t="shared" si="5"/>
        <v>8.8621911665977322</v>
      </c>
      <c r="F49" s="46"/>
    </row>
    <row r="50" spans="1:6" ht="15" thickBot="1" x14ac:dyDescent="0.25">
      <c r="A50" s="51" t="s">
        <v>22</v>
      </c>
      <c r="B50" s="70">
        <f>SUM(B51:B52)</f>
        <v>199627.98499999999</v>
      </c>
      <c r="C50" s="54">
        <f>B50/B53*100</f>
        <v>10.61027878121064</v>
      </c>
      <c r="D50" s="53">
        <f>SUM(D51:D52)</f>
        <v>260005.63500000001</v>
      </c>
      <c r="E50" s="54">
        <f>D50/D53*100</f>
        <v>13.294354955535828</v>
      </c>
    </row>
    <row r="51" spans="1:6" x14ac:dyDescent="0.2">
      <c r="A51" s="61" t="s">
        <v>23</v>
      </c>
      <c r="B51" s="25">
        <f>C11</f>
        <v>72147.92</v>
      </c>
      <c r="C51" s="23">
        <f>B51/$B$50*100</f>
        <v>36.141185315275315</v>
      </c>
      <c r="D51" s="11">
        <f>D11</f>
        <v>77626.827000000005</v>
      </c>
      <c r="E51" s="23">
        <f>D51/$D$50*100</f>
        <v>29.855824855488226</v>
      </c>
    </row>
    <row r="52" spans="1:6" ht="15" thickBot="1" x14ac:dyDescent="0.25">
      <c r="A52" s="63" t="s">
        <v>24</v>
      </c>
      <c r="B52" s="68">
        <f>C13</f>
        <v>127480.065</v>
      </c>
      <c r="C52" s="56">
        <f>B52/$B$50*100</f>
        <v>63.858814684724699</v>
      </c>
      <c r="D52" s="28">
        <f>D13</f>
        <v>182378.80799999999</v>
      </c>
      <c r="E52" s="56">
        <f>D52/$D$50*100</f>
        <v>70.144175144511763</v>
      </c>
    </row>
    <row r="53" spans="1:6" ht="15" thickBot="1" x14ac:dyDescent="0.25">
      <c r="A53" s="51" t="s">
        <v>39</v>
      </c>
      <c r="B53" s="70">
        <f>B40+B50</f>
        <v>1881458.4339999999</v>
      </c>
      <c r="C53" s="54">
        <f>C40+C50</f>
        <v>110.61027878121065</v>
      </c>
      <c r="D53" s="53">
        <f>D40+D50</f>
        <v>1955759.6879999998</v>
      </c>
      <c r="E53" s="54">
        <f>E40+E50</f>
        <v>113.29435495553582</v>
      </c>
    </row>
    <row r="54" spans="1:6" x14ac:dyDescent="0.2">
      <c r="A54" s="61" t="s">
        <v>49</v>
      </c>
      <c r="B54" s="25">
        <f>B40</f>
        <v>1681830.4489999998</v>
      </c>
      <c r="C54" s="69">
        <f>B54/$B$53*100</f>
        <v>89.389721218789347</v>
      </c>
      <c r="D54" s="11">
        <f t="shared" ref="D54" si="6">D40</f>
        <v>1695754.0529999998</v>
      </c>
      <c r="E54" s="69">
        <f>D54/$D$53*100</f>
        <v>86.705645044464177</v>
      </c>
    </row>
    <row r="55" spans="1:6" ht="15" thickBot="1" x14ac:dyDescent="0.25">
      <c r="A55" s="64" t="s">
        <v>50</v>
      </c>
      <c r="B55" s="27">
        <f>B50</f>
        <v>199627.98499999999</v>
      </c>
      <c r="C55" s="60">
        <f>B55/$B$53*100</f>
        <v>10.61027878121064</v>
      </c>
      <c r="D55" s="13">
        <f t="shared" ref="D55" si="7">D50</f>
        <v>260005.63500000001</v>
      </c>
      <c r="E55" s="60">
        <f>D55/$D$53*100</f>
        <v>13.294354955535828</v>
      </c>
    </row>
    <row r="56" spans="1:6" ht="25.5" thickBot="1" x14ac:dyDescent="0.25">
      <c r="A56" s="91" t="s">
        <v>57</v>
      </c>
      <c r="B56" s="91"/>
      <c r="C56" s="91"/>
    </row>
    <row r="57" spans="1:6" ht="15.75" thickBot="1" x14ac:dyDescent="0.25">
      <c r="A57" s="30" t="s">
        <v>0</v>
      </c>
      <c r="B57" s="47">
        <v>2019</v>
      </c>
      <c r="C57" s="34">
        <v>2020</v>
      </c>
    </row>
    <row r="58" spans="1:6" ht="15" thickBot="1" x14ac:dyDescent="0.25">
      <c r="A58" s="92" t="s">
        <v>53</v>
      </c>
      <c r="B58" s="93"/>
      <c r="C58" s="94"/>
    </row>
    <row r="59" spans="1:6" x14ac:dyDescent="0.2">
      <c r="A59" s="76" t="s">
        <v>54</v>
      </c>
      <c r="B59" s="73">
        <f>C5/(C6+C7+C8)</f>
        <v>1.0988756340443686</v>
      </c>
      <c r="C59" s="72">
        <f>D5/(D6+D7+D8)</f>
        <v>1.069184713899074</v>
      </c>
    </row>
    <row r="60" spans="1:6" x14ac:dyDescent="0.2">
      <c r="A60" s="62" t="s">
        <v>55</v>
      </c>
      <c r="B60" s="74">
        <f>(C5+C9+C10+C12)/(C6+C7+C8+C11+C13)</f>
        <v>1.0522173140924143</v>
      </c>
      <c r="C60" s="40">
        <f>(D5+D9+D10+D12)/(D6+D7+D8+D11+D13)</f>
        <v>1.002235292519231</v>
      </c>
    </row>
    <row r="61" spans="1:6" ht="15" thickBot="1" x14ac:dyDescent="0.25">
      <c r="A61" s="64" t="s">
        <v>56</v>
      </c>
      <c r="B61" s="75">
        <f>(C5-C6-C7-C8)/(C6+C7+C8)*100</f>
        <v>9.8875634044368503</v>
      </c>
      <c r="C61" s="71">
        <f>(D5-D6-D7-D8)/(D6+D7+D8)*100</f>
        <v>6.9184713899073937</v>
      </c>
      <c r="D61" s="45"/>
    </row>
    <row r="62" spans="1:6" ht="25.5" thickBot="1" x14ac:dyDescent="0.25">
      <c r="A62" s="91" t="s">
        <v>71</v>
      </c>
      <c r="B62" s="91"/>
      <c r="C62" s="91"/>
    </row>
    <row r="63" spans="1:6" ht="15.75" thickBot="1" x14ac:dyDescent="0.25">
      <c r="A63" s="79" t="s">
        <v>0</v>
      </c>
      <c r="B63" s="80">
        <v>2019</v>
      </c>
      <c r="C63" s="32">
        <v>2020</v>
      </c>
    </row>
    <row r="64" spans="1:6" ht="15" thickBot="1" x14ac:dyDescent="0.25">
      <c r="A64" s="95" t="s">
        <v>58</v>
      </c>
      <c r="B64" s="96"/>
      <c r="C64" s="97"/>
    </row>
    <row r="65" spans="1:5" x14ac:dyDescent="0.2">
      <c r="A65" s="61" t="s">
        <v>59</v>
      </c>
      <c r="B65" s="25">
        <f>B45</f>
        <v>623715.04272800521</v>
      </c>
      <c r="C65" s="7">
        <f>D45</f>
        <v>592398.18478381401</v>
      </c>
    </row>
    <row r="66" spans="1:5" x14ac:dyDescent="0.2">
      <c r="A66" s="62" t="s">
        <v>35</v>
      </c>
      <c r="B66" s="26">
        <f t="shared" ref="B66:B69" si="8">B46</f>
        <v>509361.03380437277</v>
      </c>
      <c r="C66" s="6">
        <f t="shared" ref="C66:C69" si="9">D46</f>
        <v>520827.3915671198</v>
      </c>
    </row>
    <row r="67" spans="1:5" x14ac:dyDescent="0.2">
      <c r="A67" s="62" t="s">
        <v>36</v>
      </c>
      <c r="B67" s="26">
        <f t="shared" si="8"/>
        <v>145216.64857220859</v>
      </c>
      <c r="C67" s="6">
        <f t="shared" si="9"/>
        <v>148396.6549487327</v>
      </c>
    </row>
    <row r="68" spans="1:5" x14ac:dyDescent="0.2">
      <c r="A68" s="62" t="s">
        <v>37</v>
      </c>
      <c r="B68" s="26">
        <f t="shared" si="8"/>
        <v>261850.66421932878</v>
      </c>
      <c r="C68" s="6">
        <f t="shared" si="9"/>
        <v>283850.85580814444</v>
      </c>
    </row>
    <row r="69" spans="1:5" x14ac:dyDescent="0.2">
      <c r="A69" s="62" t="s">
        <v>60</v>
      </c>
      <c r="B69" s="26">
        <f t="shared" si="8"/>
        <v>141687.05967608443</v>
      </c>
      <c r="C69" s="6">
        <f t="shared" si="9"/>
        <v>150280.96589218904</v>
      </c>
    </row>
    <row r="70" spans="1:5" ht="15" thickBot="1" x14ac:dyDescent="0.25">
      <c r="A70" s="63" t="s">
        <v>74</v>
      </c>
      <c r="B70" s="81">
        <f>C22</f>
        <v>3438.4</v>
      </c>
      <c r="C70" s="82">
        <f>D22</f>
        <v>3299.1</v>
      </c>
    </row>
    <row r="71" spans="1:5" ht="15" thickBot="1" x14ac:dyDescent="0.25">
      <c r="A71" s="95" t="s">
        <v>61</v>
      </c>
      <c r="B71" s="96"/>
      <c r="C71" s="97"/>
    </row>
    <row r="72" spans="1:5" x14ac:dyDescent="0.2">
      <c r="A72" s="61" t="s">
        <v>62</v>
      </c>
      <c r="B72" s="85">
        <f>(B65+B66+B67+B68+B69)/1000/$B$70</f>
        <v>0.48913170340856205</v>
      </c>
      <c r="C72" s="86">
        <f>(C65+C66+C67+C68+C69)/1000/$C$70</f>
        <v>0.51400504774029288</v>
      </c>
      <c r="D72" s="44"/>
    </row>
    <row r="73" spans="1:5" x14ac:dyDescent="0.2">
      <c r="A73" s="62" t="s">
        <v>63</v>
      </c>
      <c r="B73" s="78">
        <f>B65/1000/$B$70</f>
        <v>0.18139688306421742</v>
      </c>
      <c r="C73" s="77">
        <f>C65/1000/$C$70</f>
        <v>0.17956357333327697</v>
      </c>
      <c r="E73" s="44"/>
    </row>
    <row r="74" spans="1:5" x14ac:dyDescent="0.2">
      <c r="A74" s="62" t="s">
        <v>64</v>
      </c>
      <c r="B74" s="78">
        <f>(B66+B67)/1000/$B$70</f>
        <v>0.19037275546084848</v>
      </c>
      <c r="C74" s="77">
        <f>(C66+C67)/1000/$C$70</f>
        <v>0.20285048847135659</v>
      </c>
      <c r="E74" s="44"/>
    </row>
    <row r="75" spans="1:5" x14ac:dyDescent="0.2">
      <c r="A75" s="62" t="s">
        <v>65</v>
      </c>
      <c r="B75" s="78">
        <f>B68/1000/$B$70</f>
        <v>7.6154799970721498E-2</v>
      </c>
      <c r="C75" s="77">
        <f>C68/1000/$C$70</f>
        <v>8.6038875998952574E-2</v>
      </c>
      <c r="E75" s="44"/>
    </row>
    <row r="76" spans="1:5" ht="15" thickBot="1" x14ac:dyDescent="0.25">
      <c r="A76" s="63" t="s">
        <v>66</v>
      </c>
      <c r="B76" s="83">
        <f>B69/1000/$B$70</f>
        <v>4.1207264912774669E-2</v>
      </c>
      <c r="C76" s="84">
        <f>C69/1000/$C$70</f>
        <v>4.5552109936706692E-2</v>
      </c>
      <c r="D76" s="44"/>
      <c r="E76" s="44"/>
    </row>
    <row r="77" spans="1:5" ht="15" thickBot="1" x14ac:dyDescent="0.25">
      <c r="A77" s="95" t="s">
        <v>11</v>
      </c>
      <c r="B77" s="96"/>
      <c r="C77" s="97"/>
    </row>
    <row r="78" spans="1:5" x14ac:dyDescent="0.2">
      <c r="A78" s="61" t="s">
        <v>67</v>
      </c>
      <c r="B78" s="109">
        <f>(C73+B74+B75+B76)-(B73+B74+B75+B76)</f>
        <v>-1.83330973094048E-3</v>
      </c>
      <c r="C78" s="110"/>
    </row>
    <row r="79" spans="1:5" x14ac:dyDescent="0.2">
      <c r="A79" s="62" t="s">
        <v>68</v>
      </c>
      <c r="B79" s="87">
        <f>(C73+C74+B75+B76)-(C73+B74+B75+B76)</f>
        <v>1.2477733010508141E-2</v>
      </c>
      <c r="C79" s="88"/>
    </row>
    <row r="80" spans="1:5" x14ac:dyDescent="0.2">
      <c r="A80" s="62" t="s">
        <v>69</v>
      </c>
      <c r="B80" s="87">
        <f>(C73+C74+C75+B76)-(C73+C74+B75+B76)</f>
        <v>9.8840760282311035E-3</v>
      </c>
      <c r="C80" s="88"/>
    </row>
    <row r="81" spans="1:3" x14ac:dyDescent="0.2">
      <c r="A81" s="62" t="s">
        <v>70</v>
      </c>
      <c r="B81" s="87">
        <f>(C73+C74+C75+C76)-(C73+C74+C75+B76)</f>
        <v>4.3448450239319536E-3</v>
      </c>
      <c r="C81" s="88"/>
    </row>
    <row r="82" spans="1:3" ht="15" thickBot="1" x14ac:dyDescent="0.25">
      <c r="A82" s="64" t="s">
        <v>72</v>
      </c>
      <c r="B82" s="89">
        <f>SUM(B78:B81)</f>
        <v>2.4873344331730718E-2</v>
      </c>
      <c r="C82" s="90"/>
    </row>
    <row r="120" spans="1:3" x14ac:dyDescent="0.2">
      <c r="B120" s="1">
        <v>2019</v>
      </c>
      <c r="C120" s="1">
        <v>2020</v>
      </c>
    </row>
    <row r="121" spans="1:3" x14ac:dyDescent="0.2">
      <c r="A121" s="1" t="s">
        <v>51</v>
      </c>
      <c r="B121" s="43">
        <f>C45</f>
        <v>37.085488795785579</v>
      </c>
      <c r="C121" s="43">
        <f>E45</f>
        <v>34.93420426952764</v>
      </c>
    </row>
    <row r="122" spans="1:3" x14ac:dyDescent="0.2">
      <c r="A122" s="1" t="s">
        <v>44</v>
      </c>
      <c r="B122" s="43">
        <f t="shared" ref="B122:B125" si="10">C46</f>
        <v>30.286110832827053</v>
      </c>
      <c r="C122" s="43">
        <f t="shared" ref="C122:C125" si="11">E46</f>
        <v>30.713616201931597</v>
      </c>
    </row>
    <row r="123" spans="1:3" x14ac:dyDescent="0.2">
      <c r="A123" s="1" t="s">
        <v>45</v>
      </c>
      <c r="B123" s="43">
        <f t="shared" si="10"/>
        <v>8.6344404490091744</v>
      </c>
      <c r="C123" s="43">
        <f t="shared" si="11"/>
        <v>8.7510718129318654</v>
      </c>
    </row>
    <row r="124" spans="1:3" x14ac:dyDescent="0.2">
      <c r="A124" s="1" t="s">
        <v>46</v>
      </c>
      <c r="B124" s="43">
        <f t="shared" si="10"/>
        <v>15.569385390484674</v>
      </c>
      <c r="C124" s="43">
        <f t="shared" si="11"/>
        <v>16.738916549011158</v>
      </c>
    </row>
    <row r="125" spans="1:3" x14ac:dyDescent="0.2">
      <c r="A125" s="1" t="s">
        <v>52</v>
      </c>
      <c r="B125" s="43">
        <f t="shared" si="10"/>
        <v>8.424574531893521</v>
      </c>
      <c r="C125" s="43">
        <f t="shared" si="11"/>
        <v>8.8621911665977322</v>
      </c>
    </row>
  </sheetData>
  <mergeCells count="20">
    <mergeCell ref="A1:D1"/>
    <mergeCell ref="A2:D2"/>
    <mergeCell ref="A3:D3"/>
    <mergeCell ref="A21:D21"/>
    <mergeCell ref="A23:D23"/>
    <mergeCell ref="B79:C79"/>
    <mergeCell ref="B80:C80"/>
    <mergeCell ref="B81:C81"/>
    <mergeCell ref="B82:C82"/>
    <mergeCell ref="A37:E37"/>
    <mergeCell ref="A56:C56"/>
    <mergeCell ref="A62:C62"/>
    <mergeCell ref="A58:C58"/>
    <mergeCell ref="A64:C64"/>
    <mergeCell ref="A38:A39"/>
    <mergeCell ref="B38:C38"/>
    <mergeCell ref="D38:E38"/>
    <mergeCell ref="A71:C71"/>
    <mergeCell ref="A77:C77"/>
    <mergeCell ref="B78:C78"/>
  </mergeCells>
  <conditionalFormatting sqref="B59:C60">
    <cfRule type="cellIs" dxfId="3" priority="4" operator="greaterThan">
      <formula>1</formula>
    </cfRule>
    <cfRule type="cellIs" dxfId="2" priority="3" operator="lessThan">
      <formula>1</formula>
    </cfRule>
  </conditionalFormatting>
  <conditionalFormatting sqref="B78:C82">
    <cfRule type="cellIs" dxfId="1" priority="2" operator="lessThan">
      <formula>0</formula>
    </cfRule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доходов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2021-08-31T20:37:04Z</dcterms:modified>
</cp:coreProperties>
</file>